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RV-2008\users\cphilippot\ENVIRONNEMENT - DD\Commission environnement\2019-11-26 Siège\doc à projeter\"/>
    </mc:Choice>
  </mc:AlternateContent>
  <xr:revisionPtr revIDLastSave="0" documentId="13_ncr:1_{721098FF-D578-41E5-99E3-271CE6FB9E41}" xr6:coauthVersionLast="45" xr6:coauthVersionMax="45" xr10:uidLastSave="{00000000-0000-0000-0000-000000000000}"/>
  <bookViews>
    <workbookView xWindow="-120" yWindow="-120" windowWidth="29040" windowHeight="15840" xr2:uid="{00000000-000D-0000-FFFF-FFFF00000000}"/>
  </bookViews>
  <sheets>
    <sheet name="Dép GEMAPI &amp; assimilés " sheetId="1" r:id="rId1"/>
    <sheet name="Dépenses PCAET" sheetId="3" r:id="rId2"/>
    <sheet name="Dépenses EIE" sheetId="4" r:id="rId3"/>
    <sheet name="Dépenses Autres" sheetId="5"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H6" i="1"/>
  <c r="I13" i="1" l="1"/>
  <c r="I7" i="1" s="1"/>
  <c r="I22" i="1" s="1"/>
  <c r="E18" i="4"/>
  <c r="E25" i="4"/>
  <c r="E13" i="5" l="1"/>
  <c r="D19" i="5"/>
  <c r="F42" i="4" l="1"/>
  <c r="F44" i="4" s="1"/>
  <c r="F40" i="4"/>
  <c r="F28" i="4"/>
  <c r="F20" i="4"/>
  <c r="F25" i="4" s="1"/>
  <c r="D20" i="4"/>
  <c r="F15" i="4"/>
  <c r="F14" i="4"/>
  <c r="F13" i="4"/>
  <c r="F3" i="4" l="1"/>
  <c r="F34" i="4" s="1"/>
  <c r="F45" i="4"/>
  <c r="F43" i="4"/>
  <c r="F36" i="4"/>
  <c r="F30" i="4"/>
  <c r="F37" i="4" l="1"/>
  <c r="F39" i="4"/>
  <c r="F47" i="4" s="1"/>
  <c r="F38" i="4"/>
  <c r="E19" i="4"/>
  <c r="G6" i="1" l="1"/>
  <c r="H12" i="1" l="1"/>
  <c r="H4" i="1" l="1"/>
  <c r="F8" i="1" l="1"/>
  <c r="F7" i="1" s="1"/>
  <c r="G8" i="1"/>
  <c r="H8" i="1"/>
  <c r="H7" i="1" s="1"/>
  <c r="H22" i="1" s="1"/>
  <c r="C21" i="3"/>
  <c r="D21" i="3"/>
  <c r="G7" i="1" l="1"/>
  <c r="G22" i="1" s="1"/>
  <c r="E4" i="1" l="1"/>
  <c r="F4" i="1"/>
  <c r="F22" i="1" s="1"/>
  <c r="E6" i="1" l="1"/>
  <c r="E21" i="4" l="1"/>
  <c r="D19" i="4" l="1"/>
  <c r="B5" i="3" l="1"/>
  <c r="D12" i="1" l="1"/>
  <c r="C12" i="1"/>
  <c r="C7" i="1" s="1"/>
  <c r="B12" i="1"/>
  <c r="B7" i="1" s="1"/>
  <c r="E8" i="1"/>
  <c r="E7" i="1" s="1"/>
  <c r="E22" i="1" s="1"/>
  <c r="D7" i="1"/>
  <c r="D6" i="1"/>
  <c r="C6" i="1"/>
  <c r="B5" i="1"/>
  <c r="B21" i="3"/>
  <c r="C13" i="5"/>
  <c r="C17" i="5" s="1"/>
  <c r="D45" i="4"/>
  <c r="D44" i="4"/>
  <c r="D43" i="4"/>
  <c r="C42" i="4"/>
  <c r="D40" i="4"/>
  <c r="C40" i="4"/>
  <c r="D39" i="4"/>
  <c r="D38" i="4"/>
  <c r="D37" i="4"/>
  <c r="C34" i="4"/>
  <c r="C29" i="4"/>
  <c r="D28" i="4"/>
  <c r="D17" i="4"/>
  <c r="D16" i="4"/>
  <c r="D15" i="4"/>
  <c r="D14" i="4"/>
  <c r="D13" i="4"/>
  <c r="D47" i="4" l="1"/>
  <c r="D3" i="4"/>
  <c r="D22" i="1"/>
  <c r="B22" i="1"/>
  <c r="C22" i="1"/>
  <c r="D34" i="4"/>
</calcChain>
</file>

<file path=xl/sharedStrings.xml><?xml version="1.0" encoding="utf-8"?>
<sst xmlns="http://schemas.openxmlformats.org/spreadsheetml/2006/main" count="203" uniqueCount="175">
  <si>
    <t>Budget RH</t>
  </si>
  <si>
    <t>ENVI 6554</t>
  </si>
  <si>
    <t>Adhésion Parc Naturel Régional Marais Poitevin</t>
  </si>
  <si>
    <t>ENVI 6257</t>
  </si>
  <si>
    <t>ENVI 60632</t>
  </si>
  <si>
    <t>TTC</t>
  </si>
  <si>
    <t>€ TTC</t>
  </si>
  <si>
    <t>Productions biosourcées autres qu'alimentaires</t>
  </si>
  <si>
    <t>Frais de colloque environnement pour les élus de la commissions non VP</t>
  </si>
  <si>
    <t>Bassin Charente</t>
  </si>
  <si>
    <t>Communication</t>
  </si>
  <si>
    <t>Impression affiches</t>
  </si>
  <si>
    <t>Impression Flyers d'info et lettre/invitation</t>
  </si>
  <si>
    <t>Expo (4 Roll Up)</t>
  </si>
  <si>
    <t>création Roll Up en interne</t>
  </si>
  <si>
    <t>Remarque</t>
  </si>
  <si>
    <t>Bassin Curé - Syndicat du Curé</t>
  </si>
  <si>
    <t>Bassin Boutonne - SYMBO</t>
  </si>
  <si>
    <t>Adhésion EPTB</t>
  </si>
  <si>
    <t>ENVIRONNEMENT AUTRE</t>
  </si>
  <si>
    <t>AUTRES DEPENSES COMMUNES AVEC AUTRES SERVICES</t>
  </si>
  <si>
    <t>ENVI</t>
  </si>
  <si>
    <t>INVESTISSEMENT</t>
  </si>
  <si>
    <t>FONCTIONNEMENT</t>
  </si>
  <si>
    <t>Voté 2018</t>
  </si>
  <si>
    <t>Adhésion FDGDON</t>
  </si>
  <si>
    <t>réalisé 2018</t>
  </si>
  <si>
    <t>engagé 2018</t>
  </si>
  <si>
    <t>à prévoir 2019</t>
  </si>
  <si>
    <t>Bassin Mignon - S3R puis Syndicat Sèvre</t>
  </si>
  <si>
    <t>A prévoir 2019</t>
  </si>
  <si>
    <t>EIE</t>
  </si>
  <si>
    <t>Coût conseiller et frais (€ TTC)</t>
  </si>
  <si>
    <t>Salaire chargé + TR + CNAS</t>
  </si>
  <si>
    <t>ADEME</t>
  </si>
  <si>
    <t>Région</t>
  </si>
  <si>
    <t>Frais de formation</t>
  </si>
  <si>
    <t>Valorisation occupation Espace Berlioz</t>
  </si>
  <si>
    <t>Véhicule électrique EIE (10 000 km/an) - coût électricité (1,77€/100km)</t>
  </si>
  <si>
    <t>Véhicule électrique EIE - location batterie 12 mois/10 000 km</t>
  </si>
  <si>
    <t>Entretien (provision véhicule neuf)</t>
  </si>
  <si>
    <t>Assurance véhicule électrique</t>
  </si>
  <si>
    <t>Véhicule de l'EIE (petit utilitaire électrique) € HT</t>
  </si>
  <si>
    <t>Amortissement (coût HT sur 8 ans achat + carte grise)</t>
  </si>
  <si>
    <t>EIE 6135</t>
  </si>
  <si>
    <t>EIE 6161</t>
  </si>
  <si>
    <t>EIE 6184</t>
  </si>
  <si>
    <t>EIE 6238</t>
  </si>
  <si>
    <t>EIE 60632</t>
  </si>
  <si>
    <t>Fournitures de petit équipement</t>
  </si>
  <si>
    <t>équipement animation</t>
  </si>
  <si>
    <t>EIE 6064</t>
  </si>
  <si>
    <t>Fournitures administratives</t>
  </si>
  <si>
    <t>EIE 6251</t>
  </si>
  <si>
    <t>Affranchissement</t>
  </si>
  <si>
    <t>Téléphonie</t>
  </si>
  <si>
    <t>EIE 6261</t>
  </si>
  <si>
    <t>EIE 6262</t>
  </si>
  <si>
    <t>Alimentation/boissons</t>
  </si>
  <si>
    <t>Prestations artistes et autres intervenants</t>
  </si>
  <si>
    <t>Description</t>
  </si>
  <si>
    <t>Ménage : 40 minutes par semaine</t>
  </si>
  <si>
    <t>Divers - Communication ("valorisation et promotion de la mission EIE")</t>
  </si>
  <si>
    <t>Location de matériel pour événements</t>
  </si>
  <si>
    <t>Voir chiffrage Caroline</t>
  </si>
  <si>
    <t>cotise GEMAPI. Reste la question du hors GEMAPI (472,21 € en 2018)</t>
  </si>
  <si>
    <t>Frais pour formation des élus</t>
  </si>
  <si>
    <t>DEPENSES</t>
  </si>
  <si>
    <t>Communication / animation  (€ TTC)</t>
  </si>
  <si>
    <t>EIE 6257</t>
  </si>
  <si>
    <t>RECETTES</t>
  </si>
  <si>
    <t>Aunis Sud</t>
  </si>
  <si>
    <t>Aunis Atlantique</t>
  </si>
  <si>
    <t>Vals de Saintonge Communauté</t>
  </si>
  <si>
    <t>Budget Environnement AUTRES DEPENSES 2019</t>
  </si>
  <si>
    <t>Frais de repas pour élus présents à une formation</t>
  </si>
  <si>
    <t>Réception</t>
  </si>
  <si>
    <t>Achats petit matériel</t>
  </si>
  <si>
    <t>matériel et fournitures fabrication produits d'entretien en interne</t>
  </si>
  <si>
    <t>Budget entretien siège ?</t>
  </si>
  <si>
    <t>PROJET DE DEPENSES PCAET 2019</t>
  </si>
  <si>
    <t>Développement coordonné des réseaux énergétiques</t>
  </si>
  <si>
    <t>En interne</t>
  </si>
  <si>
    <t>Calcul d'ATMO : 31 943 habitants x 0,145 €</t>
  </si>
  <si>
    <t>Forfait de 10 000 à 50 000 habitants</t>
  </si>
  <si>
    <t>Accompagnement AREC PCAET</t>
  </si>
  <si>
    <t>Stagiaire (indemnisation 550 € par mois X 6 mois )</t>
  </si>
  <si>
    <t>Proposition de stage sur "Politiques alimentaires locales et durables". A voir. Pas de frais de logement car il est du coin</t>
  </si>
  <si>
    <t>DEPENSES GEMAPI 2019</t>
  </si>
  <si>
    <t>engagé</t>
  </si>
  <si>
    <t>pas encore facturé</t>
  </si>
  <si>
    <t>Cotisation fonctionnement</t>
  </si>
  <si>
    <t>Parcticipation bassin Marais Nord Rochefort</t>
  </si>
  <si>
    <t>Parcticipation Bassin Gères-Devise</t>
  </si>
  <si>
    <t>C'était 84 091,74 en 2016. Ca varie selon état du rembousement des emprunts.</t>
  </si>
  <si>
    <t>cotise 2018 un peu réévaluée</t>
  </si>
  <si>
    <t>Participation aux Syndicats  - GEMA 65</t>
  </si>
  <si>
    <t>attente facture</t>
  </si>
  <si>
    <t>Contribution CYCLAD</t>
  </si>
  <si>
    <t>avec participation des communes à la distribution</t>
  </si>
  <si>
    <t>Selon convention signée avec l'AREC</t>
  </si>
  <si>
    <t>Adhésion ATMO (6281)</t>
  </si>
  <si>
    <t>Adhésion AREC (6281)</t>
  </si>
  <si>
    <t xml:space="preserve">PCAET Réception (6257) </t>
  </si>
  <si>
    <t>Etudes supplémentaires (2032)</t>
  </si>
  <si>
    <t>Bureau d'étude accompagnement PCAET 50 j à 700 €/j (2032)</t>
  </si>
  <si>
    <t>Distribution lettre/invitation réunion publique à tous les habitants (A3 plié) - (012 mise à dispo de personnel)</t>
  </si>
  <si>
    <t>Pour 45 semaines, soit 30 heures : max 630 €</t>
  </si>
  <si>
    <t>portable + box</t>
  </si>
  <si>
    <t>Habitat Naturel 56,90 +35€ la maison écologique  + autre documents (livres…)</t>
  </si>
  <si>
    <t>Abonnements, achats de documents, adhésions</t>
  </si>
  <si>
    <t>Frais de mission (repas et hébergement)</t>
  </si>
  <si>
    <t>Frais de déplacement hors coût véhicule EIE (péage, stationnement, SNCF…)</t>
  </si>
  <si>
    <t>EIE 6256</t>
  </si>
  <si>
    <t>Réalisé 2019</t>
  </si>
  <si>
    <t>Adhésion AMORCE (6281)</t>
  </si>
  <si>
    <t>DEPENSES
à prévoir 2019</t>
  </si>
  <si>
    <t>RECETTES
à prévoir 2019</t>
  </si>
  <si>
    <t>Ragondins (Remboursement du SYHNA subvention départementale déduite, encore pour tout le territoire en 2019)</t>
  </si>
  <si>
    <t>Engagé 2019</t>
  </si>
  <si>
    <t>Engagé/réalisé 2019</t>
  </si>
  <si>
    <t xml:space="preserve">A rembourser au SYHNA selon ce qui avait été convenu en novembre 2018, mais Aunis Atlantique a visiblement envie d'être maître d'ouvrage... </t>
  </si>
  <si>
    <t>Payé 2019</t>
  </si>
  <si>
    <t>Demandé 2019</t>
  </si>
  <si>
    <t>Inscrit 2019</t>
  </si>
  <si>
    <t>Création d'une AP/CP sur 2 ans : besoin total étalé sur 2019 et 2020</t>
  </si>
  <si>
    <t>inscrit sur d'autres lignes du BP</t>
  </si>
  <si>
    <t>inscrit budget comm'</t>
  </si>
  <si>
    <t>charge de pers</t>
  </si>
  <si>
    <t>Prévu 2019</t>
  </si>
  <si>
    <t>2019 : encore 1 € finalement2020 : 0,75 € par habitant sur le PNR</t>
  </si>
  <si>
    <t>Payé</t>
  </si>
  <si>
    <t xml:space="preserve">ENVI 6232 </t>
  </si>
  <si>
    <t>Fêtes et cérémonies</t>
  </si>
  <si>
    <t>cadeaux stagiaires</t>
  </si>
  <si>
    <t>A prévoir 2020</t>
  </si>
  <si>
    <t>Adhésion CLER et GRAINE</t>
  </si>
  <si>
    <t>Inscription salons et foires (=frais colloques et séminaires)</t>
  </si>
  <si>
    <t>Pour les EPCI : 0,8 centime d'€/hab limité à 2500 €. A 3, nous sommes en 2019 : 32182 + 29981 + ~54521 = 116 684 soit 933 € environ</t>
  </si>
  <si>
    <t>Pour événements publics + ateliers + balades thermo</t>
  </si>
  <si>
    <t>Projet Budget EIE 2020</t>
  </si>
  <si>
    <t>IFREE "élargir vos publics" - c'est passé de 2 à 3 jours et de 350 à 600 €</t>
  </si>
  <si>
    <t>Reste à charge EIE pour chaque EPCI</t>
  </si>
  <si>
    <t>prévisionnel convention ADEME 2019</t>
  </si>
  <si>
    <t>billet train Anne-Sophie pour Bordeaux (ATMO) en 2019</t>
  </si>
  <si>
    <t>Budget ST pour les poubelles et budget comm pour les affiches au-dessus</t>
  </si>
  <si>
    <t>poubelles tri sélectif équipements sportifs et leur panneaux de comm' (suite)</t>
  </si>
  <si>
    <t> Salon de l’habitat 2019 payé dès 2018 à l'inscription par DE 17</t>
  </si>
  <si>
    <t>Renouvellement ordinateur potable</t>
  </si>
  <si>
    <t>Matériel bureautique</t>
  </si>
  <si>
    <t>Etude Bilan-programmation CTMA</t>
  </si>
  <si>
    <t>stages IFREE "Réguler un dispositif participatif : assurer les suivi, alerter, ajuster" (15-17/027/2020 à Niort, 600 €) et " L'énergie, comprendre, transmettre" (19 et 20/11/2020 à Niort, 400 €)</t>
  </si>
  <si>
    <t>Prévoir formations des nouveaux</t>
  </si>
  <si>
    <t>Adhésion CRER</t>
  </si>
  <si>
    <t>identique à 2019</t>
  </si>
  <si>
    <t>Participation Bassin Mignon</t>
  </si>
  <si>
    <t>Somme faible en 2020 grâce au reliquat de budget S3R</t>
  </si>
  <si>
    <t>Le coût 2018 est passé de 1 783,54 à 2 365,8 €. Pour 2019, prévisions faites avec les baisses de subventions.
Transfert de l'action au Syndicat du Curé toujours pas fait car Syndicat Curé pas en ordre de marche.</t>
  </si>
  <si>
    <t>entretien cours d'eau, ripsylve, lit du cours d'eau… (prestataire : Aunis GD, UNIMA, entreprises) C'est un maximum (dépenses comme recettes).
2019 : actions du SMCA et du futur Syndicat du Curé en principe, mais ils ne sont pas prêts : on prévoit  la dépense pour les deux et le remboursement pour le SMCA (le Curé n'a pas prévu ça dans sa cotise)
2020 : le SMCA se débrouillera en direct. Il faut continuer côté Curé.</t>
  </si>
  <si>
    <t>Les chiffres 2020 vont encore pas mal évoluer, à la hausse a priori.
Pour 2019, nous aurons une participation de 5 970,5 € à verser en plus des prévisions initiales si toutes les dépenses prévues sont réalisées.</t>
  </si>
  <si>
    <t>Maintien de la cotisation 2019</t>
  </si>
  <si>
    <t>Jussie Myrio (reste à financer, subv déduites par le MO)</t>
  </si>
  <si>
    <t>GEMA 61523
En  2019 : GEMA Gères-Devise et Curé (St-Georges)
En 2020 : GEMA Curé seulement</t>
  </si>
  <si>
    <t>Facture 2018 SYHNA est de 53 241,69 € (avec la jussie) au lieu de 14 822 € (manque subventions). DM faite sur le budget 2019 pour couvrir ce qui manquait sur le budget 2018.
Plus de subventions européennes en 2018, 2019, et 2020, et plus de subv Région, d'où une forte augmentation du remboursement au SYHNA.
Pour 2019, les syndicats n'étant pas encore prêts pour cette action (pb d'organisation ou de trésorerie), elle est organisée via le SYHNA (avec une recette côté SMCA qui remboursera notre dépense). Coût réalisé : 53 769,91 €
Pour 2020 :  le SMCA se débrouille, ce sera dans la cotisation. Curé et Sèvres ne sont pas prêts : on continnue avec le SYHNA.</t>
  </si>
  <si>
    <t>TOTAL</t>
  </si>
  <si>
    <t>Natura 2000 Marais Nord de Rochefort - Etude DOCOB</t>
  </si>
  <si>
    <t>Natura 2000 Marais Nord de Rochefort - Poste</t>
  </si>
  <si>
    <t xml:space="preserve">Coût fixé au prorata du nombre d'ha en Natura 2000 MNR sur Aunis Sud (24,7%) </t>
  </si>
  <si>
    <t>en cours de calcul !</t>
  </si>
  <si>
    <t>83 241,69
reste 23 769,91 de 2019 à payer</t>
  </si>
  <si>
    <t>Formations Cécile</t>
  </si>
  <si>
    <t>Ateliers FREDON</t>
  </si>
  <si>
    <t>5 000 ?</t>
  </si>
  <si>
    <t>Etude SLGRI (stratégie locale de gestion des risques d'inondation) - participation à rembourser au maître d'ouvrage</t>
  </si>
  <si>
    <t>La somme pour 3 ateliers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</si>
</sst>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0"/>
      <color rgb="FF000000"/>
      <name val="Century Gothic"/>
      <family val="2"/>
    </font>
    <font>
      <sz val="10"/>
      <color rgb="FF000000"/>
      <name val="Century Gothic"/>
      <family val="2"/>
    </font>
    <font>
      <b/>
      <sz val="10"/>
      <name val="Arial"/>
      <family val="2"/>
    </font>
    <font>
      <sz val="10"/>
      <name val="Arial"/>
      <family val="2"/>
    </font>
    <font>
      <i/>
      <sz val="10"/>
      <color rgb="FF000000"/>
      <name val="Century Gothic"/>
      <family val="2"/>
    </font>
    <font>
      <sz val="10"/>
      <name val="Century Gothic"/>
      <family val="2"/>
    </font>
    <font>
      <sz val="10"/>
      <name val="Arial"/>
      <family val="2"/>
    </font>
    <font>
      <sz val="10"/>
      <color theme="1"/>
      <name val="Times New Roman"/>
      <family val="1"/>
    </font>
    <font>
      <b/>
      <sz val="10"/>
      <name val="Century Gothic"/>
      <family val="2"/>
    </font>
    <font>
      <sz val="11"/>
      <color theme="1"/>
      <name val="Century Gothic"/>
      <family val="2"/>
    </font>
    <font>
      <sz val="10"/>
      <color theme="1"/>
      <name val="Century Gothic"/>
      <family val="2"/>
    </font>
    <font>
      <i/>
      <sz val="9"/>
      <color theme="4" tint="-0.249977111117893"/>
      <name val="Century Gothic"/>
      <family val="2"/>
    </font>
    <font>
      <i/>
      <sz val="9"/>
      <color theme="1"/>
      <name val="Century Gothic"/>
      <family val="2"/>
    </font>
    <font>
      <b/>
      <i/>
      <sz val="9"/>
      <color theme="1"/>
      <name val="Century Gothic"/>
      <family val="2"/>
    </font>
    <font>
      <b/>
      <sz val="11"/>
      <color rgb="FF000000"/>
      <name val="Century Gothic"/>
      <family val="2"/>
    </font>
    <font>
      <sz val="11"/>
      <color rgb="FF000000"/>
      <name val="Century Gothic"/>
      <family val="2"/>
    </font>
    <font>
      <sz val="11"/>
      <name val="Century Gothic"/>
      <family val="2"/>
    </font>
    <font>
      <i/>
      <sz val="8"/>
      <color theme="1"/>
      <name val="Century Gothic"/>
      <family val="2"/>
    </font>
    <font>
      <strike/>
      <sz val="10"/>
      <color theme="1"/>
      <name val="Century Gothic"/>
      <family val="2"/>
    </font>
  </fonts>
  <fills count="9">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0CECE"/>
        <bgColor indexed="64"/>
      </patternFill>
    </fill>
    <fill>
      <patternFill patternType="solid">
        <fgColor rgb="FFBFBFBF"/>
        <bgColor indexed="64"/>
      </patternFill>
    </fill>
    <fill>
      <patternFill patternType="solid">
        <fgColor theme="9" tint="0.59999389629810485"/>
        <bgColor indexed="64"/>
      </patternFill>
    </fill>
    <fill>
      <patternFill patternType="solid">
        <fgColor rgb="FFFFFF0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s>
  <cellStyleXfs count="3">
    <xf numFmtId="0" fontId="0" fillId="0" borderId="0"/>
    <xf numFmtId="164" fontId="2" fillId="0" borderId="0" applyFont="0" applyFill="0" applyBorder="0" applyAlignment="0" applyProtection="0"/>
    <xf numFmtId="44" fontId="2" fillId="0" borderId="0" applyFont="0" applyFill="0" applyBorder="0" applyAlignment="0" applyProtection="0"/>
  </cellStyleXfs>
  <cellXfs count="215">
    <xf numFmtId="0" fontId="0" fillId="0" borderId="0" xfId="0"/>
    <xf numFmtId="0" fontId="1" fillId="0" borderId="0" xfId="0" applyFont="1"/>
    <xf numFmtId="0" fontId="3" fillId="0" borderId="0" xfId="0" applyFont="1" applyAlignment="1">
      <alignment horizontal="center" vertical="center" wrapText="1"/>
    </xf>
    <xf numFmtId="0" fontId="4" fillId="0" borderId="0" xfId="0" applyFont="1" applyAlignment="1">
      <alignment vertical="center" wrapText="1"/>
    </xf>
    <xf numFmtId="4" fontId="3" fillId="0" borderId="0" xfId="0" applyNumberFormat="1" applyFont="1" applyAlignment="1">
      <alignment vertical="center"/>
    </xf>
    <xf numFmtId="0" fontId="6" fillId="0" borderId="0" xfId="0" applyFont="1"/>
    <xf numFmtId="0" fontId="8" fillId="0" borderId="0" xfId="0" applyFont="1" applyAlignment="1">
      <alignment horizontal="right"/>
    </xf>
    <xf numFmtId="4" fontId="3" fillId="0" borderId="0" xfId="0" applyNumberFormat="1" applyFont="1" applyAlignment="1">
      <alignment horizontal="right" vertical="center"/>
    </xf>
    <xf numFmtId="0" fontId="3" fillId="0" borderId="0" xfId="0" applyFont="1" applyAlignment="1">
      <alignment vertical="center"/>
    </xf>
    <xf numFmtId="0" fontId="10" fillId="0" borderId="0" xfId="0" applyFont="1"/>
    <xf numFmtId="0" fontId="3" fillId="0" borderId="6" xfId="0" applyFont="1" applyBorder="1" applyAlignment="1">
      <alignment horizontal="center" vertical="center"/>
    </xf>
    <xf numFmtId="0" fontId="4" fillId="0" borderId="10" xfId="0" applyFont="1" applyBorder="1" applyAlignment="1">
      <alignment vertical="center" wrapText="1"/>
    </xf>
    <xf numFmtId="0" fontId="3" fillId="0" borderId="11" xfId="0" applyFont="1" applyBorder="1" applyAlignment="1">
      <alignment horizontal="center" vertical="center"/>
    </xf>
    <xf numFmtId="4" fontId="4" fillId="0" borderId="0" xfId="0" applyNumberFormat="1" applyFont="1" applyAlignment="1">
      <alignment horizontal="right" vertical="center"/>
    </xf>
    <xf numFmtId="0" fontId="9" fillId="0" borderId="0" xfId="0" applyFont="1"/>
    <xf numFmtId="0" fontId="3" fillId="0" borderId="1" xfId="0" applyFont="1" applyBorder="1" applyAlignment="1">
      <alignment horizontal="center" vertical="center"/>
    </xf>
    <xf numFmtId="0" fontId="4" fillId="0" borderId="9" xfId="0" applyFont="1" applyBorder="1" applyAlignment="1">
      <alignment vertical="center" wrapText="1"/>
    </xf>
    <xf numFmtId="4" fontId="6" fillId="0" borderId="0" xfId="0" applyNumberFormat="1" applyFont="1"/>
    <xf numFmtId="4" fontId="3" fillId="2" borderId="1"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0" fontId="12" fillId="0" borderId="0" xfId="0" applyFont="1"/>
    <xf numFmtId="0" fontId="8" fillId="0" borderId="0" xfId="0" applyFont="1"/>
    <xf numFmtId="4" fontId="4" fillId="2" borderId="1" xfId="0" applyNumberFormat="1" applyFont="1" applyFill="1" applyBorder="1" applyAlignment="1">
      <alignment horizontal="right" vertical="center"/>
    </xf>
    <xf numFmtId="0" fontId="3" fillId="0" borderId="3" xfId="0" applyFont="1" applyBorder="1" applyAlignment="1">
      <alignment horizontal="center" vertical="center"/>
    </xf>
    <xf numFmtId="0" fontId="4" fillId="0" borderId="15" xfId="0" applyFont="1" applyBorder="1" applyAlignment="1">
      <alignment vertical="center" wrapText="1"/>
    </xf>
    <xf numFmtId="0" fontId="3" fillId="0" borderId="8" xfId="0" applyFont="1" applyBorder="1" applyAlignment="1">
      <alignment horizontal="center" vertical="center"/>
    </xf>
    <xf numFmtId="0" fontId="4" fillId="0" borderId="12" xfId="0" applyFont="1" applyBorder="1" applyAlignment="1">
      <alignment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wrapText="1"/>
    </xf>
    <xf numFmtId="0" fontId="4" fillId="0" borderId="1" xfId="0" applyFont="1" applyBorder="1" applyAlignment="1">
      <alignment vertical="center" wrapText="1"/>
    </xf>
    <xf numFmtId="4" fontId="13" fillId="2" borderId="1" xfId="0" applyNumberFormat="1" applyFont="1" applyFill="1" applyBorder="1" applyAlignment="1">
      <alignment horizontal="right" vertical="center"/>
    </xf>
    <xf numFmtId="0" fontId="5" fillId="0" borderId="0" xfId="0" applyFont="1"/>
    <xf numFmtId="0" fontId="4" fillId="0" borderId="16" xfId="0" applyFont="1" applyBorder="1" applyAlignment="1">
      <alignment vertical="center" wrapText="1"/>
    </xf>
    <xf numFmtId="0" fontId="4" fillId="0" borderId="17" xfId="0" applyFont="1" applyBorder="1" applyAlignment="1">
      <alignment vertical="center" wrapText="1"/>
    </xf>
    <xf numFmtId="0" fontId="7" fillId="0" borderId="5" xfId="0" applyFont="1" applyBorder="1" applyAlignment="1">
      <alignment horizontal="right" vertical="center" wrapText="1"/>
    </xf>
    <xf numFmtId="0" fontId="7" fillId="0" borderId="18" xfId="0" applyFont="1" applyBorder="1" applyAlignment="1">
      <alignment horizontal="righ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3" fillId="0" borderId="9" xfId="0" applyFont="1" applyBorder="1" applyAlignment="1">
      <alignment vertical="center" wrapText="1"/>
    </xf>
    <xf numFmtId="0" fontId="4" fillId="0" borderId="19" xfId="0" applyFont="1" applyBorder="1" applyAlignment="1">
      <alignment horizontal="left" vertical="center" wrapText="1"/>
    </xf>
    <xf numFmtId="0" fontId="3" fillId="0" borderId="13" xfId="0" applyFont="1" applyBorder="1" applyAlignment="1">
      <alignment horizontal="left" vertical="center" wrapText="1"/>
    </xf>
    <xf numFmtId="14" fontId="0" fillId="0" borderId="0" xfId="0" applyNumberFormat="1"/>
    <xf numFmtId="4" fontId="14" fillId="2" borderId="6" xfId="0" applyNumberFormat="1" applyFont="1" applyFill="1" applyBorder="1" applyAlignment="1">
      <alignment horizontal="right" vertical="center"/>
    </xf>
    <xf numFmtId="4" fontId="15" fillId="2" borderId="6" xfId="0" applyNumberFormat="1" applyFont="1" applyFill="1" applyBorder="1" applyAlignment="1">
      <alignment horizontal="right" vertical="center"/>
    </xf>
    <xf numFmtId="0" fontId="4" fillId="0" borderId="20" xfId="0" applyFont="1" applyBorder="1" applyAlignment="1">
      <alignment horizontal="left" vertical="center" wrapText="1"/>
    </xf>
    <xf numFmtId="4" fontId="4" fillId="0" borderId="1" xfId="0" applyNumberFormat="1" applyFont="1" applyBorder="1" applyAlignment="1">
      <alignment horizontal="right" vertical="center"/>
    </xf>
    <xf numFmtId="4" fontId="4" fillId="0" borderId="6" xfId="0" applyNumberFormat="1" applyFont="1" applyBorder="1" applyAlignment="1">
      <alignment horizontal="right" vertical="center"/>
    </xf>
    <xf numFmtId="4" fontId="4" fillId="0" borderId="6" xfId="0" applyNumberFormat="1" applyFont="1" applyBorder="1" applyAlignment="1">
      <alignment horizontal="left" vertical="center" wrapText="1"/>
    </xf>
    <xf numFmtId="4" fontId="4" fillId="0" borderId="3" xfId="0" applyNumberFormat="1" applyFont="1" applyBorder="1" applyAlignment="1">
      <alignment horizontal="right" vertical="center"/>
    </xf>
    <xf numFmtId="4" fontId="4" fillId="0" borderId="6" xfId="0" applyNumberFormat="1" applyFont="1" applyBorder="1" applyAlignment="1">
      <alignment horizontal="left" vertical="center"/>
    </xf>
    <xf numFmtId="4" fontId="13" fillId="0" borderId="1" xfId="0" applyNumberFormat="1" applyFont="1" applyBorder="1" applyAlignment="1">
      <alignment horizontal="left" vertical="center"/>
    </xf>
    <xf numFmtId="4" fontId="3" fillId="0" borderId="1" xfId="0" applyNumberFormat="1" applyFont="1" applyBorder="1" applyAlignment="1">
      <alignment horizontal="right" vertical="center"/>
    </xf>
    <xf numFmtId="0" fontId="3" fillId="0" borderId="1" xfId="0" applyFont="1" applyBorder="1" applyAlignment="1">
      <alignment horizontal="center" vertical="center" wrapText="1"/>
    </xf>
    <xf numFmtId="4" fontId="4" fillId="0" borderId="7" xfId="0" applyNumberFormat="1" applyFont="1" applyBorder="1" applyAlignment="1">
      <alignment horizontal="right" vertical="center"/>
    </xf>
    <xf numFmtId="4" fontId="4" fillId="0" borderId="4" xfId="0" applyNumberFormat="1" applyFont="1" applyBorder="1" applyAlignment="1">
      <alignment horizontal="left" vertical="center"/>
    </xf>
    <xf numFmtId="4" fontId="3" fillId="0" borderId="1" xfId="0" applyNumberFormat="1" applyFont="1" applyBorder="1" applyAlignment="1">
      <alignment vertical="center"/>
    </xf>
    <xf numFmtId="0" fontId="11" fillId="4" borderId="2" xfId="0" applyFont="1" applyFill="1" applyBorder="1" applyAlignment="1">
      <alignment horizontal="center" vertical="center" wrapText="1"/>
    </xf>
    <xf numFmtId="4" fontId="4" fillId="4" borderId="1" xfId="0" applyNumberFormat="1" applyFont="1" applyFill="1" applyBorder="1" applyAlignment="1">
      <alignment horizontal="right" vertical="center"/>
    </xf>
    <xf numFmtId="4" fontId="4" fillId="4" borderId="6" xfId="0" applyNumberFormat="1" applyFont="1" applyFill="1" applyBorder="1" applyAlignment="1">
      <alignment horizontal="right" vertical="center"/>
    </xf>
    <xf numFmtId="4" fontId="14" fillId="4" borderId="6" xfId="0" applyNumberFormat="1" applyFont="1" applyFill="1" applyBorder="1" applyAlignment="1">
      <alignment horizontal="right" vertical="center"/>
    </xf>
    <xf numFmtId="4" fontId="4" fillId="4" borderId="3" xfId="0" applyNumberFormat="1" applyFont="1" applyFill="1" applyBorder="1" applyAlignment="1">
      <alignment horizontal="right" vertical="center"/>
    </xf>
    <xf numFmtId="4" fontId="13"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1" xfId="0" applyFont="1" applyFill="1" applyBorder="1" applyAlignment="1">
      <alignment horizontal="center" vertical="center" wrapText="1"/>
    </xf>
    <xf numFmtId="4" fontId="4" fillId="4" borderId="7" xfId="0" applyNumberFormat="1" applyFont="1" applyFill="1" applyBorder="1" applyAlignment="1">
      <alignment horizontal="right" vertical="center"/>
    </xf>
    <xf numFmtId="4" fontId="4" fillId="4" borderId="4" xfId="0" applyNumberFormat="1" applyFont="1" applyFill="1" applyBorder="1" applyAlignment="1">
      <alignment horizontal="right" vertical="center"/>
    </xf>
    <xf numFmtId="4" fontId="3" fillId="4" borderId="1" xfId="0" applyNumberFormat="1" applyFont="1" applyFill="1" applyBorder="1" applyAlignment="1">
      <alignment vertical="center"/>
    </xf>
    <xf numFmtId="0" fontId="18" fillId="0" borderId="7" xfId="0" applyFont="1" applyBorder="1" applyAlignment="1">
      <alignment vertical="center" wrapText="1"/>
    </xf>
    <xf numFmtId="0" fontId="17" fillId="6" borderId="7" xfId="0" applyFont="1" applyFill="1" applyBorder="1" applyAlignment="1">
      <alignment horizontal="right" vertical="center" wrapText="1"/>
    </xf>
    <xf numFmtId="0" fontId="17" fillId="5" borderId="21" xfId="0" applyFont="1" applyFill="1" applyBorder="1" applyAlignment="1">
      <alignment vertical="center" wrapText="1"/>
    </xf>
    <xf numFmtId="4" fontId="18" fillId="4" borderId="23" xfId="2" applyNumberFormat="1" applyFont="1" applyFill="1" applyBorder="1" applyAlignment="1">
      <alignment horizontal="right" vertical="center" wrapText="1"/>
    </xf>
    <xf numFmtId="4" fontId="18" fillId="0" borderId="23" xfId="2" applyNumberFormat="1" applyFont="1" applyBorder="1" applyAlignment="1">
      <alignment horizontal="right" vertical="center" wrapText="1"/>
    </xf>
    <xf numFmtId="0" fontId="18" fillId="0" borderId="3" xfId="0" applyFont="1" applyBorder="1" applyAlignment="1">
      <alignment vertical="center" wrapText="1"/>
    </xf>
    <xf numFmtId="0" fontId="19" fillId="0" borderId="8" xfId="0" applyFont="1" applyBorder="1" applyAlignment="1">
      <alignment vertical="center" wrapText="1"/>
    </xf>
    <xf numFmtId="0" fontId="18" fillId="0" borderId="11" xfId="0" applyFont="1" applyBorder="1" applyAlignment="1">
      <alignment vertical="center" wrapText="1"/>
    </xf>
    <xf numFmtId="4" fontId="4" fillId="0" borderId="7" xfId="0" quotePrefix="1" applyNumberFormat="1" applyFont="1" applyBorder="1" applyAlignment="1">
      <alignment horizontal="left" vertical="center"/>
    </xf>
    <xf numFmtId="4" fontId="18" fillId="0" borderId="14" xfId="2" applyNumberFormat="1" applyFont="1" applyBorder="1" applyAlignment="1">
      <alignment horizontal="right" vertical="center" wrapText="1"/>
    </xf>
    <xf numFmtId="4" fontId="18" fillId="0" borderId="24" xfId="2" applyNumberFormat="1" applyFont="1" applyBorder="1" applyAlignment="1">
      <alignment horizontal="right" vertical="center" wrapText="1"/>
    </xf>
    <xf numFmtId="0" fontId="18" fillId="0" borderId="27" xfId="0" applyFont="1" applyBorder="1" applyAlignment="1">
      <alignment vertical="center" wrapText="1"/>
    </xf>
    <xf numFmtId="0" fontId="18" fillId="0" borderId="28" xfId="0" applyFont="1" applyBorder="1" applyAlignment="1">
      <alignment vertical="center" wrapText="1"/>
    </xf>
    <xf numFmtId="0" fontId="18" fillId="0" borderId="28" xfId="0" applyFont="1" applyBorder="1" applyAlignment="1">
      <alignment horizontal="right" vertical="center" wrapText="1"/>
    </xf>
    <xf numFmtId="0" fontId="18" fillId="0" borderId="29" xfId="0" applyFont="1" applyBorder="1" applyAlignment="1">
      <alignment vertical="center" wrapText="1"/>
    </xf>
    <xf numFmtId="4" fontId="18" fillId="0" borderId="27" xfId="2" applyNumberFormat="1" applyFont="1" applyBorder="1" applyAlignment="1">
      <alignment horizontal="right" vertical="center" wrapText="1"/>
    </xf>
    <xf numFmtId="4" fontId="18" fillId="0" borderId="28" xfId="2" applyNumberFormat="1" applyFont="1" applyBorder="1" applyAlignment="1">
      <alignment horizontal="right" vertical="center" wrapText="1"/>
    </xf>
    <xf numFmtId="4" fontId="18" fillId="0" borderId="29" xfId="2" applyNumberFormat="1" applyFont="1" applyBorder="1" applyAlignment="1">
      <alignment horizontal="right" vertical="center" wrapText="1"/>
    </xf>
    <xf numFmtId="4" fontId="18" fillId="4" borderId="3" xfId="2" applyNumberFormat="1" applyFont="1" applyFill="1" applyBorder="1" applyAlignment="1">
      <alignment horizontal="right" vertical="center" wrapText="1"/>
    </xf>
    <xf numFmtId="4" fontId="18" fillId="4" borderId="11" xfId="2" applyNumberFormat="1" applyFont="1" applyFill="1" applyBorder="1" applyAlignment="1">
      <alignment horizontal="right" vertical="center" wrapText="1"/>
    </xf>
    <xf numFmtId="4" fontId="18" fillId="4" borderId="8" xfId="2" applyNumberFormat="1" applyFont="1" applyFill="1" applyBorder="1" applyAlignment="1">
      <alignment horizontal="right" vertical="center" wrapText="1"/>
    </xf>
    <xf numFmtId="4" fontId="17" fillId="0" borderId="2" xfId="2" applyNumberFormat="1" applyFont="1" applyBorder="1" applyAlignment="1">
      <alignment horizontal="right" vertical="center" wrapText="1"/>
    </xf>
    <xf numFmtId="0" fontId="18" fillId="0" borderId="28" xfId="0" applyFont="1" applyBorder="1" applyAlignment="1">
      <alignment horizontal="left" vertical="center" wrapText="1"/>
    </xf>
    <xf numFmtId="4" fontId="18" fillId="0" borderId="25" xfId="2" applyNumberFormat="1" applyFont="1" applyBorder="1" applyAlignment="1">
      <alignment horizontal="left" vertical="center" wrapText="1"/>
    </xf>
    <xf numFmtId="4" fontId="18" fillId="0" borderId="11" xfId="2" applyNumberFormat="1" applyFont="1" applyBorder="1" applyAlignment="1">
      <alignment horizontal="left" vertical="center" wrapText="1"/>
    </xf>
    <xf numFmtId="4" fontId="18" fillId="0" borderId="26" xfId="2" applyNumberFormat="1" applyFont="1" applyBorder="1" applyAlignment="1">
      <alignment horizontal="left" vertical="center" wrapText="1"/>
    </xf>
    <xf numFmtId="4" fontId="18" fillId="0" borderId="3" xfId="2" applyNumberFormat="1" applyFont="1" applyBorder="1" applyAlignment="1">
      <alignment horizontal="left" vertical="center" wrapText="1"/>
    </xf>
    <xf numFmtId="4" fontId="18" fillId="0" borderId="23" xfId="2" applyNumberFormat="1" applyFont="1" applyBorder="1" applyAlignment="1">
      <alignment horizontal="left" vertical="center" wrapText="1"/>
    </xf>
    <xf numFmtId="4" fontId="17" fillId="0" borderId="1" xfId="0" applyNumberFormat="1" applyFont="1" applyBorder="1" applyAlignment="1">
      <alignment horizontal="left" vertical="center" wrapText="1"/>
    </xf>
    <xf numFmtId="4" fontId="18" fillId="0" borderId="30" xfId="2" applyNumberFormat="1" applyFont="1" applyBorder="1" applyAlignment="1">
      <alignment horizontal="right" vertical="center" wrapText="1"/>
    </xf>
    <xf numFmtId="0" fontId="3" fillId="0" borderId="2" xfId="0" applyFont="1" applyBorder="1" applyAlignment="1">
      <alignment horizontal="center" vertical="center" wrapText="1"/>
    </xf>
    <xf numFmtId="4" fontId="4" fillId="0" borderId="7" xfId="0" applyNumberFormat="1" applyFont="1" applyBorder="1" applyAlignment="1">
      <alignment horizontal="left" vertical="center"/>
    </xf>
    <xf numFmtId="4" fontId="17" fillId="3" borderId="1" xfId="2" applyNumberFormat="1" applyFont="1" applyFill="1" applyBorder="1" applyAlignment="1">
      <alignment horizontal="right" vertical="center" wrapText="1"/>
    </xf>
    <xf numFmtId="0" fontId="17" fillId="3" borderId="7" xfId="0" applyFont="1" applyFill="1" applyBorder="1" applyAlignment="1">
      <alignment vertical="center" wrapText="1"/>
    </xf>
    <xf numFmtId="4" fontId="17" fillId="3" borderId="23" xfId="2" applyNumberFormat="1" applyFont="1" applyFill="1" applyBorder="1" applyAlignment="1">
      <alignment horizontal="right" vertical="center" wrapText="1"/>
    </xf>
    <xf numFmtId="4" fontId="19" fillId="0" borderId="11" xfId="2" applyNumberFormat="1" applyFont="1" applyBorder="1" applyAlignment="1">
      <alignment horizontal="left" vertical="center" wrapText="1"/>
    </xf>
    <xf numFmtId="2" fontId="18" fillId="4" borderId="11" xfId="2" applyNumberFormat="1" applyFont="1" applyFill="1" applyBorder="1" applyAlignment="1">
      <alignment horizontal="right" vertical="center" wrapText="1"/>
    </xf>
    <xf numFmtId="0" fontId="17" fillId="3" borderId="21" xfId="0" applyFont="1" applyFill="1" applyBorder="1" applyAlignment="1">
      <alignment vertical="center" wrapText="1"/>
    </xf>
    <xf numFmtId="4" fontId="17" fillId="3" borderId="1" xfId="0" applyNumberFormat="1" applyFont="1" applyFill="1" applyBorder="1" applyAlignment="1">
      <alignment vertical="center" wrapText="1"/>
    </xf>
    <xf numFmtId="0" fontId="5" fillId="0" borderId="1" xfId="0" applyFont="1" applyBorder="1" applyAlignment="1">
      <alignment vertical="center"/>
    </xf>
    <xf numFmtId="0" fontId="5" fillId="0" borderId="4" xfId="0" applyFont="1" applyBorder="1" applyAlignment="1">
      <alignment vertical="center"/>
    </xf>
    <xf numFmtId="0" fontId="17" fillId="5" borderId="1" xfId="0" applyFont="1" applyFill="1" applyBorder="1" applyAlignment="1">
      <alignment vertical="center" wrapText="1"/>
    </xf>
    <xf numFmtId="164" fontId="3" fillId="0" borderId="23" xfId="0" applyNumberFormat="1" applyFont="1" applyBorder="1" applyAlignment="1">
      <alignment horizontal="center" vertical="center" wrapText="1"/>
    </xf>
    <xf numFmtId="164" fontId="3" fillId="4" borderId="23" xfId="0" applyNumberFormat="1" applyFont="1" applyFill="1" applyBorder="1" applyAlignment="1">
      <alignment horizontal="center" vertical="center" wrapText="1"/>
    </xf>
    <xf numFmtId="0" fontId="0" fillId="0" borderId="4" xfId="0" applyBorder="1"/>
    <xf numFmtId="164" fontId="18" fillId="0" borderId="23" xfId="1" applyFont="1" applyBorder="1" applyAlignment="1">
      <alignment horizontal="right" vertical="center" wrapText="1"/>
    </xf>
    <xf numFmtId="164" fontId="18" fillId="4" borderId="23" xfId="1" applyFont="1" applyFill="1" applyBorder="1" applyAlignment="1">
      <alignment horizontal="right" vertical="center" wrapText="1"/>
    </xf>
    <xf numFmtId="164" fontId="17" fillId="3" borderId="7" xfId="0" applyNumberFormat="1" applyFont="1" applyFill="1" applyBorder="1" applyAlignment="1">
      <alignment vertical="center" wrapText="1"/>
    </xf>
    <xf numFmtId="164" fontId="17" fillId="4" borderId="7" xfId="0" applyNumberFormat="1" applyFont="1" applyFill="1" applyBorder="1" applyAlignment="1">
      <alignment vertical="center" wrapText="1"/>
    </xf>
    <xf numFmtId="0" fontId="17" fillId="3" borderId="1" xfId="0" applyFont="1" applyFill="1" applyBorder="1" applyAlignment="1">
      <alignment vertical="center" wrapText="1"/>
    </xf>
    <xf numFmtId="164" fontId="18" fillId="4" borderId="23" xfId="0" applyNumberFormat="1" applyFont="1" applyFill="1" applyBorder="1" applyAlignment="1">
      <alignment vertical="center" wrapText="1"/>
    </xf>
    <xf numFmtId="0" fontId="0" fillId="0" borderId="7" xfId="0" applyBorder="1"/>
    <xf numFmtId="4" fontId="4" fillId="4" borderId="1" xfId="0" applyNumberFormat="1" applyFont="1" applyFill="1" applyBorder="1" applyAlignment="1">
      <alignment horizontal="right" vertical="center" wrapText="1"/>
    </xf>
    <xf numFmtId="0" fontId="11" fillId="4" borderId="2" xfId="0" applyFont="1" applyFill="1" applyBorder="1" applyAlignment="1">
      <alignment horizontal="center" wrapText="1"/>
    </xf>
    <xf numFmtId="0" fontId="4" fillId="0" borderId="21" xfId="0" applyFont="1" applyBorder="1" applyAlignment="1">
      <alignment vertical="center" wrapText="1"/>
    </xf>
    <xf numFmtId="4" fontId="4" fillId="4" borderId="9" xfId="0" applyNumberFormat="1" applyFont="1" applyFill="1" applyBorder="1" applyAlignment="1">
      <alignment horizontal="right" vertical="center"/>
    </xf>
    <xf numFmtId="0" fontId="4" fillId="0" borderId="22" xfId="0" applyFont="1" applyBorder="1" applyAlignment="1">
      <alignment vertical="center" wrapText="1"/>
    </xf>
    <xf numFmtId="4" fontId="4" fillId="0" borderId="7" xfId="0" applyNumberFormat="1" applyFont="1" applyBorder="1" applyAlignment="1">
      <alignment horizontal="left" vertical="center" wrapText="1"/>
    </xf>
    <xf numFmtId="4" fontId="4" fillId="0" borderId="1" xfId="0" applyNumberFormat="1" applyFont="1" applyBorder="1" applyAlignment="1">
      <alignment horizontal="left" vertical="center" wrapText="1"/>
    </xf>
    <xf numFmtId="4" fontId="14" fillId="2" borderId="6" xfId="0" applyNumberFormat="1" applyFont="1" applyFill="1" applyBorder="1" applyAlignment="1">
      <alignment horizontal="right" vertical="center" wrapText="1"/>
    </xf>
    <xf numFmtId="4" fontId="16" fillId="4" borderId="6" xfId="0" applyNumberFormat="1" applyFont="1" applyFill="1" applyBorder="1" applyAlignment="1">
      <alignment horizontal="right" vertical="center"/>
    </xf>
    <xf numFmtId="4" fontId="20" fillId="4" borderId="6" xfId="0" applyNumberFormat="1" applyFont="1" applyFill="1" applyBorder="1" applyAlignment="1">
      <alignment horizontal="right" vertical="center"/>
    </xf>
    <xf numFmtId="0" fontId="4" fillId="0" borderId="6" xfId="0" applyFont="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vertical="center" wrapText="1"/>
    </xf>
    <xf numFmtId="0" fontId="16" fillId="0" borderId="6" xfId="0" applyFont="1" applyBorder="1" applyAlignment="1">
      <alignment horizontal="right" vertical="center" wrapText="1"/>
    </xf>
    <xf numFmtId="0" fontId="15" fillId="0" borderId="6" xfId="0" applyFont="1" applyBorder="1" applyAlignment="1">
      <alignment horizontal="right" vertical="center" wrapText="1"/>
    </xf>
    <xf numFmtId="0" fontId="13" fillId="0" borderId="1" xfId="0" applyFont="1" applyBorder="1" applyAlignment="1">
      <alignment horizontal="left" vertical="center" wrapText="1"/>
    </xf>
    <xf numFmtId="4" fontId="0" fillId="0" borderId="0" xfId="0" applyNumberFormat="1"/>
    <xf numFmtId="4" fontId="4" fillId="4" borderId="2" xfId="0" applyNumberFormat="1" applyFont="1" applyFill="1" applyBorder="1" applyAlignment="1">
      <alignment vertical="center"/>
    </xf>
    <xf numFmtId="4" fontId="4" fillId="4" borderId="4" xfId="0" applyNumberFormat="1" applyFont="1" applyFill="1" applyBorder="1" applyAlignment="1">
      <alignment vertical="center"/>
    </xf>
    <xf numFmtId="4" fontId="4" fillId="4" borderId="7" xfId="0" applyNumberFormat="1" applyFont="1" applyFill="1" applyBorder="1" applyAlignment="1">
      <alignment vertical="center"/>
    </xf>
    <xf numFmtId="4" fontId="4" fillId="4" borderId="6" xfId="0" applyNumberFormat="1" applyFont="1" applyFill="1" applyBorder="1" applyAlignment="1">
      <alignment horizontal="right" vertical="center" wrapText="1"/>
    </xf>
    <xf numFmtId="4" fontId="13" fillId="0" borderId="6" xfId="0" applyNumberFormat="1" applyFont="1" applyBorder="1" applyAlignment="1">
      <alignment horizontal="left" vertical="center" wrapText="1"/>
    </xf>
    <xf numFmtId="4" fontId="3" fillId="0" borderId="0" xfId="0" applyNumberFormat="1" applyFont="1" applyBorder="1" applyAlignment="1">
      <alignment horizontal="right" vertical="center"/>
    </xf>
    <xf numFmtId="0" fontId="21" fillId="0" borderId="1" xfId="0" applyFont="1" applyBorder="1" applyAlignment="1">
      <alignment horizontal="left" vertical="center" wrapText="1"/>
    </xf>
    <xf numFmtId="4" fontId="21" fillId="2" borderId="1" xfId="0" applyNumberFormat="1" applyFont="1" applyFill="1" applyBorder="1" applyAlignment="1">
      <alignment horizontal="right" vertical="center"/>
    </xf>
    <xf numFmtId="4" fontId="21" fillId="4" borderId="1" xfId="0" applyNumberFormat="1" applyFont="1" applyFill="1" applyBorder="1" applyAlignment="1">
      <alignment horizontal="right" vertical="center"/>
    </xf>
    <xf numFmtId="4" fontId="21" fillId="0" borderId="1" xfId="0" applyNumberFormat="1" applyFont="1" applyBorder="1" applyAlignment="1">
      <alignment horizontal="left" vertical="center" wrapText="1"/>
    </xf>
    <xf numFmtId="0" fontId="3" fillId="7" borderId="1" xfId="0" applyFont="1" applyFill="1" applyBorder="1" applyAlignment="1">
      <alignment horizontal="center" vertical="center" wrapText="1"/>
    </xf>
    <xf numFmtId="4" fontId="17" fillId="6" borderId="7" xfId="0" applyNumberFormat="1" applyFont="1" applyFill="1" applyBorder="1" applyAlignment="1">
      <alignment horizontal="right" vertical="center" wrapText="1"/>
    </xf>
    <xf numFmtId="4" fontId="18" fillId="7" borderId="3" xfId="2" applyNumberFormat="1" applyFont="1" applyFill="1" applyBorder="1" applyAlignment="1">
      <alignment horizontal="right" vertical="center" wrapText="1"/>
    </xf>
    <xf numFmtId="4" fontId="18" fillId="7" borderId="11" xfId="2" applyNumberFormat="1" applyFont="1" applyFill="1" applyBorder="1" applyAlignment="1">
      <alignment horizontal="right" vertical="center" wrapText="1"/>
    </xf>
    <xf numFmtId="2" fontId="18" fillId="7" borderId="11" xfId="2" applyNumberFormat="1" applyFont="1" applyFill="1" applyBorder="1" applyAlignment="1">
      <alignment horizontal="right" vertical="center" wrapText="1"/>
    </xf>
    <xf numFmtId="4" fontId="18" fillId="7" borderId="8" xfId="2" applyNumberFormat="1" applyFont="1" applyFill="1" applyBorder="1" applyAlignment="1">
      <alignment horizontal="right" vertical="center" wrapText="1"/>
    </xf>
    <xf numFmtId="4" fontId="18" fillId="7" borderId="23" xfId="2" applyNumberFormat="1" applyFont="1" applyFill="1" applyBorder="1" applyAlignment="1">
      <alignment horizontal="right" vertical="center" wrapText="1"/>
    </xf>
    <xf numFmtId="164" fontId="3" fillId="7" borderId="23" xfId="0" applyNumberFormat="1" applyFont="1" applyFill="1" applyBorder="1" applyAlignment="1">
      <alignment horizontal="center" vertical="center" wrapText="1"/>
    </xf>
    <xf numFmtId="164" fontId="18" fillId="7" borderId="23" xfId="1" applyFont="1" applyFill="1" applyBorder="1" applyAlignment="1">
      <alignment horizontal="right" vertical="center" wrapText="1"/>
    </xf>
    <xf numFmtId="164" fontId="17" fillId="7" borderId="7" xfId="0" applyNumberFormat="1" applyFont="1" applyFill="1" applyBorder="1" applyAlignment="1">
      <alignment vertical="center" wrapText="1"/>
    </xf>
    <xf numFmtId="0" fontId="17" fillId="0" borderId="21" xfId="0" applyFont="1" applyBorder="1" applyAlignment="1">
      <alignment vertical="center" wrapText="1"/>
    </xf>
    <xf numFmtId="0" fontId="1" fillId="0" borderId="22" xfId="0" applyFont="1" applyBorder="1"/>
    <xf numFmtId="164" fontId="1" fillId="4" borderId="1" xfId="0" applyNumberFormat="1" applyFont="1" applyFill="1" applyBorder="1"/>
    <xf numFmtId="164" fontId="17" fillId="7" borderId="1" xfId="1" applyFont="1" applyFill="1" applyBorder="1" applyAlignment="1">
      <alignment horizontal="right" vertical="center" wrapText="1"/>
    </xf>
    <xf numFmtId="4" fontId="4" fillId="7" borderId="4" xfId="0" applyNumberFormat="1" applyFont="1" applyFill="1" applyBorder="1" applyAlignment="1">
      <alignment horizontal="right" vertical="center"/>
    </xf>
    <xf numFmtId="4" fontId="4" fillId="7" borderId="1" xfId="0" applyNumberFormat="1" applyFont="1" applyFill="1" applyBorder="1" applyAlignment="1">
      <alignment horizontal="right" vertical="center"/>
    </xf>
    <xf numFmtId="4" fontId="4" fillId="7" borderId="3" xfId="0" applyNumberFormat="1" applyFont="1" applyFill="1" applyBorder="1" applyAlignment="1">
      <alignment horizontal="right" vertical="center"/>
    </xf>
    <xf numFmtId="4" fontId="4" fillId="7" borderId="6" xfId="0" applyNumberFormat="1" applyFont="1" applyFill="1" applyBorder="1" applyAlignment="1">
      <alignment horizontal="right" vertical="center"/>
    </xf>
    <xf numFmtId="4" fontId="4" fillId="7" borderId="7" xfId="0" applyNumberFormat="1" applyFont="1" applyFill="1" applyBorder="1" applyAlignment="1">
      <alignment horizontal="right" vertical="center"/>
    </xf>
    <xf numFmtId="4" fontId="3" fillId="7" borderId="1" xfId="0" applyNumberFormat="1" applyFont="1" applyFill="1" applyBorder="1" applyAlignment="1">
      <alignment vertical="center"/>
    </xf>
    <xf numFmtId="4" fontId="3" fillId="7" borderId="1" xfId="0" applyNumberFormat="1" applyFont="1" applyFill="1" applyBorder="1" applyAlignment="1">
      <alignment horizontal="right" vertical="center"/>
    </xf>
    <xf numFmtId="0" fontId="11" fillId="7" borderId="2" xfId="0" applyFont="1" applyFill="1" applyBorder="1" applyAlignment="1">
      <alignment horizontal="center" wrapText="1"/>
    </xf>
    <xf numFmtId="0" fontId="11" fillId="7" borderId="2" xfId="0" applyFont="1" applyFill="1" applyBorder="1" applyAlignment="1">
      <alignment horizontal="center" vertical="center" wrapText="1"/>
    </xf>
    <xf numFmtId="4" fontId="16" fillId="7" borderId="6" xfId="0" applyNumberFormat="1" applyFont="1" applyFill="1" applyBorder="1" applyAlignment="1">
      <alignment horizontal="right" vertical="center"/>
    </xf>
    <xf numFmtId="4" fontId="20" fillId="7" borderId="6" xfId="0" applyNumberFormat="1" applyFont="1" applyFill="1" applyBorder="1" applyAlignment="1">
      <alignment horizontal="right" vertical="center"/>
    </xf>
    <xf numFmtId="4" fontId="13" fillId="7" borderId="1" xfId="0" applyNumberFormat="1" applyFont="1" applyFill="1" applyBorder="1" applyAlignment="1">
      <alignment horizontal="right" vertical="center"/>
    </xf>
    <xf numFmtId="4" fontId="21" fillId="7" borderId="1" xfId="0" applyNumberFormat="1" applyFont="1" applyFill="1" applyBorder="1" applyAlignment="1">
      <alignment horizontal="right" vertical="center"/>
    </xf>
    <xf numFmtId="4" fontId="4" fillId="0" borderId="3" xfId="0" applyNumberFormat="1" applyFont="1" applyBorder="1" applyAlignment="1">
      <alignment horizontal="right" vertical="center" wrapText="1"/>
    </xf>
    <xf numFmtId="0" fontId="19" fillId="0" borderId="33" xfId="0" applyFont="1" applyBorder="1" applyAlignment="1">
      <alignment vertical="center" wrapText="1"/>
    </xf>
    <xf numFmtId="4" fontId="18" fillId="0" borderId="33" xfId="2" applyNumberFormat="1" applyFont="1" applyBorder="1" applyAlignment="1">
      <alignment horizontal="right" vertical="center" wrapText="1"/>
    </xf>
    <xf numFmtId="4" fontId="18" fillId="4" borderId="7" xfId="2" applyNumberFormat="1" applyFont="1" applyFill="1" applyBorder="1" applyAlignment="1">
      <alignment horizontal="right" vertical="center" wrapText="1"/>
    </xf>
    <xf numFmtId="4" fontId="18" fillId="7" borderId="7" xfId="2" applyNumberFormat="1" applyFont="1" applyFill="1" applyBorder="1" applyAlignment="1">
      <alignment horizontal="right" vertical="center" wrapText="1"/>
    </xf>
    <xf numFmtId="4" fontId="15" fillId="7" borderId="6" xfId="0" applyNumberFormat="1" applyFont="1" applyFill="1" applyBorder="1" applyAlignment="1">
      <alignment horizontal="right" vertical="center"/>
    </xf>
    <xf numFmtId="4" fontId="4" fillId="8" borderId="3" xfId="0" applyNumberFormat="1" applyFont="1" applyFill="1" applyBorder="1" applyAlignment="1">
      <alignment horizontal="right" vertical="center"/>
    </xf>
    <xf numFmtId="4" fontId="4" fillId="7" borderId="15" xfId="0" applyNumberFormat="1" applyFont="1" applyFill="1" applyBorder="1" applyAlignment="1">
      <alignment horizontal="right" vertical="center"/>
    </xf>
    <xf numFmtId="4" fontId="3" fillId="4" borderId="6" xfId="0" applyNumberFormat="1" applyFont="1" applyFill="1" applyBorder="1" applyAlignment="1">
      <alignment horizontal="right" vertical="center"/>
    </xf>
    <xf numFmtId="4" fontId="3" fillId="7" borderId="6" xfId="0" applyNumberFormat="1" applyFont="1" applyFill="1" applyBorder="1" applyAlignment="1">
      <alignment horizontal="right" vertical="center"/>
    </xf>
    <xf numFmtId="0" fontId="3" fillId="0" borderId="8" xfId="0" applyFont="1" applyBorder="1" applyAlignment="1">
      <alignment horizontal="right" vertical="center" wrapText="1"/>
    </xf>
    <xf numFmtId="4" fontId="4" fillId="7" borderId="1"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4" fillId="0" borderId="31" xfId="0" applyFont="1" applyFill="1" applyBorder="1" applyAlignment="1">
      <alignment vertical="center" wrapText="1"/>
    </xf>
    <xf numFmtId="0" fontId="0" fillId="0" borderId="32" xfId="0" applyBorder="1"/>
    <xf numFmtId="0" fontId="0" fillId="7" borderId="31" xfId="0" applyFill="1" applyBorder="1"/>
    <xf numFmtId="0" fontId="0" fillId="4" borderId="31" xfId="0" applyFill="1" applyBorder="1"/>
    <xf numFmtId="0" fontId="3" fillId="0" borderId="0" xfId="0" applyFont="1" applyFill="1" applyAlignment="1">
      <alignment horizontal="center" vertical="center" wrapText="1"/>
    </xf>
    <xf numFmtId="4" fontId="4" fillId="0" borderId="0" xfId="0" applyNumberFormat="1" applyFont="1" applyFill="1" applyAlignment="1">
      <alignment horizontal="right" vertical="center" wrapText="1"/>
    </xf>
    <xf numFmtId="4" fontId="4" fillId="0" borderId="34" xfId="0" applyNumberFormat="1" applyFont="1" applyBorder="1" applyAlignment="1">
      <alignment horizontal="left" vertical="center" wrapText="1"/>
    </xf>
    <xf numFmtId="4" fontId="4" fillId="0" borderId="4" xfId="0" applyNumberFormat="1" applyFont="1" applyBorder="1" applyAlignment="1">
      <alignment horizontal="left" vertical="center" wrapText="1"/>
    </xf>
    <xf numFmtId="4" fontId="4" fillId="0" borderId="6" xfId="0" applyNumberFormat="1" applyFont="1" applyBorder="1" applyAlignment="1">
      <alignment horizontal="left" vertical="center" wrapText="1"/>
    </xf>
    <xf numFmtId="4" fontId="4" fillId="0" borderId="35" xfId="0" applyNumberFormat="1" applyFont="1" applyBorder="1" applyAlignment="1">
      <alignment horizontal="left" vertical="center" wrapText="1"/>
    </xf>
    <xf numFmtId="4" fontId="4" fillId="0" borderId="33" xfId="0" applyNumberFormat="1" applyFont="1" applyBorder="1" applyAlignment="1">
      <alignment horizontal="left" vertical="center" wrapText="1"/>
    </xf>
    <xf numFmtId="4" fontId="4" fillId="4" borderId="2" xfId="0" applyNumberFormat="1" applyFont="1" applyFill="1" applyBorder="1" applyAlignment="1">
      <alignment vertical="center"/>
    </xf>
    <xf numFmtId="4" fontId="4" fillId="4" borderId="4" xfId="0" applyNumberFormat="1" applyFont="1" applyFill="1" applyBorder="1" applyAlignment="1">
      <alignment vertical="center"/>
    </xf>
    <xf numFmtId="4" fontId="4" fillId="4" borderId="7" xfId="0" applyNumberFormat="1" applyFont="1" applyFill="1" applyBorder="1" applyAlignment="1">
      <alignment vertical="center"/>
    </xf>
    <xf numFmtId="4" fontId="4" fillId="4" borderId="2" xfId="0" applyNumberFormat="1" applyFont="1" applyFill="1" applyBorder="1" applyAlignment="1">
      <alignment horizontal="center" vertical="center"/>
    </xf>
    <xf numFmtId="4" fontId="4" fillId="4" borderId="4" xfId="0" applyNumberFormat="1" applyFont="1" applyFill="1" applyBorder="1" applyAlignment="1">
      <alignment horizontal="center" vertical="center"/>
    </xf>
    <xf numFmtId="4" fontId="4" fillId="4" borderId="7" xfId="0" applyNumberFormat="1" applyFont="1" applyFill="1" applyBorder="1" applyAlignment="1">
      <alignment horizontal="center" vertical="center"/>
    </xf>
    <xf numFmtId="4" fontId="4" fillId="7" borderId="2" xfId="0" applyNumberFormat="1" applyFont="1" applyFill="1" applyBorder="1" applyAlignment="1">
      <alignment horizontal="center" vertical="center" wrapText="1"/>
    </xf>
    <xf numFmtId="4" fontId="4" fillId="7" borderId="4" xfId="0" applyNumberFormat="1" applyFont="1" applyFill="1" applyBorder="1" applyAlignment="1">
      <alignment horizontal="center" vertical="center" wrapText="1"/>
    </xf>
    <xf numFmtId="4" fontId="4" fillId="7" borderId="7" xfId="0" applyNumberFormat="1" applyFont="1" applyFill="1" applyBorder="1" applyAlignment="1">
      <alignment horizontal="center" vertical="center" wrapText="1"/>
    </xf>
    <xf numFmtId="4" fontId="4" fillId="7" borderId="2" xfId="0" applyNumberFormat="1" applyFont="1" applyFill="1" applyBorder="1" applyAlignment="1">
      <alignment horizontal="right" vertical="center"/>
    </xf>
    <xf numFmtId="4" fontId="4" fillId="7" borderId="4" xfId="0" applyNumberFormat="1" applyFont="1" applyFill="1" applyBorder="1" applyAlignment="1">
      <alignment horizontal="right" vertical="center"/>
    </xf>
    <xf numFmtId="4" fontId="4" fillId="7" borderId="7" xfId="0" applyNumberFormat="1" applyFont="1" applyFill="1" applyBorder="1" applyAlignment="1">
      <alignment horizontal="right" vertical="center"/>
    </xf>
    <xf numFmtId="164" fontId="18" fillId="0" borderId="2" xfId="1" applyFont="1" applyBorder="1" applyAlignment="1">
      <alignment horizontal="center" vertical="center" wrapText="1"/>
    </xf>
    <xf numFmtId="164" fontId="18" fillId="0" borderId="4" xfId="1" applyFont="1" applyBorder="1" applyAlignment="1">
      <alignment horizontal="center" vertical="center" wrapText="1"/>
    </xf>
    <xf numFmtId="164" fontId="18" fillId="0" borderId="7" xfId="1" applyFont="1" applyBorder="1" applyAlignment="1">
      <alignment horizontal="center" vertical="center" wrapText="1"/>
    </xf>
    <xf numFmtId="0" fontId="3" fillId="0" borderId="0" xfId="0" applyFont="1" applyAlignment="1">
      <alignment vertical="center"/>
    </xf>
    <xf numFmtId="4" fontId="4" fillId="8" borderId="6" xfId="0" applyNumberFormat="1" applyFont="1" applyFill="1" applyBorder="1" applyAlignment="1">
      <alignment horizontal="right" vertical="center"/>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topLeftCell="A7" zoomScale="140" zoomScaleNormal="140" workbookViewId="0">
      <selection activeCell="I21" sqref="I21"/>
    </sheetView>
  </sheetViews>
  <sheetFormatPr baseColWidth="10" defaultRowHeight="15" x14ac:dyDescent="0.25"/>
  <cols>
    <col min="1" max="1" width="42.7109375" customWidth="1"/>
    <col min="2" max="2" width="13.85546875" hidden="1" customWidth="1"/>
    <col min="3" max="3" width="13.28515625" hidden="1" customWidth="1"/>
    <col min="4" max="4" width="0.140625" hidden="1" customWidth="1"/>
    <col min="5" max="9" width="14.5703125" customWidth="1"/>
    <col min="10" max="10" width="122.85546875" customWidth="1"/>
    <col min="11" max="11" width="17.7109375" customWidth="1"/>
    <col min="12" max="12" width="11.42578125" customWidth="1"/>
    <col min="13" max="13" width="13.140625" customWidth="1"/>
  </cols>
  <sheetData>
    <row r="1" spans="1:11" ht="15.75" thickBot="1" x14ac:dyDescent="0.3">
      <c r="A1" s="1" t="s">
        <v>88</v>
      </c>
      <c r="E1" s="41"/>
      <c r="F1" s="41"/>
      <c r="G1" s="41"/>
      <c r="H1" s="41"/>
      <c r="I1" s="41"/>
      <c r="J1" s="41"/>
      <c r="K1" s="8"/>
    </row>
    <row r="2" spans="1:11" ht="44.45" customHeight="1" thickBot="1" x14ac:dyDescent="0.3">
      <c r="A2" s="21" t="s">
        <v>6</v>
      </c>
      <c r="B2" s="28" t="s">
        <v>24</v>
      </c>
      <c r="C2" s="28" t="s">
        <v>27</v>
      </c>
      <c r="D2" s="28" t="s">
        <v>26</v>
      </c>
      <c r="E2" s="56" t="s">
        <v>116</v>
      </c>
      <c r="F2" s="56" t="s">
        <v>117</v>
      </c>
      <c r="G2" s="56" t="s">
        <v>119</v>
      </c>
      <c r="H2" s="56" t="s">
        <v>122</v>
      </c>
      <c r="I2" s="168" t="s">
        <v>135</v>
      </c>
      <c r="J2" s="97" t="s">
        <v>15</v>
      </c>
      <c r="K2" s="8"/>
    </row>
    <row r="3" spans="1:11" ht="33" customHeight="1" thickBot="1" x14ac:dyDescent="0.3">
      <c r="A3" s="29" t="s">
        <v>25</v>
      </c>
      <c r="B3" s="22"/>
      <c r="C3" s="22">
        <v>3415.04</v>
      </c>
      <c r="D3" s="22">
        <v>3415.04</v>
      </c>
      <c r="E3" s="57">
        <v>3420</v>
      </c>
      <c r="F3" s="57"/>
      <c r="G3" s="57">
        <v>3415.04</v>
      </c>
      <c r="H3" s="57">
        <v>3415.04</v>
      </c>
      <c r="I3" s="161">
        <v>3415.04</v>
      </c>
      <c r="J3" s="125"/>
      <c r="K3" s="13"/>
    </row>
    <row r="4" spans="1:11" ht="103.9" customHeight="1" thickBot="1" x14ac:dyDescent="0.3">
      <c r="A4" s="29" t="s">
        <v>118</v>
      </c>
      <c r="B4" s="22">
        <v>17000</v>
      </c>
      <c r="C4" s="22">
        <v>17000</v>
      </c>
      <c r="D4" s="22" t="s">
        <v>97</v>
      </c>
      <c r="E4" s="57">
        <f>78000*0.7</f>
        <v>54600</v>
      </c>
      <c r="F4" s="57">
        <f>29750+8750</f>
        <v>38500</v>
      </c>
      <c r="G4" s="119" t="s">
        <v>169</v>
      </c>
      <c r="H4" s="57">
        <f>53241.69+30000</f>
        <v>83241.69</v>
      </c>
      <c r="I4" s="184" t="s">
        <v>168</v>
      </c>
      <c r="J4" s="125" t="s">
        <v>163</v>
      </c>
      <c r="K4" s="13"/>
    </row>
    <row r="5" spans="1:11" ht="36" customHeight="1" thickBot="1" x14ac:dyDescent="0.3">
      <c r="A5" s="129" t="s">
        <v>161</v>
      </c>
      <c r="B5" s="42">
        <f>(314.5+447.5+9000)*0.2</f>
        <v>1952.4</v>
      </c>
      <c r="C5" s="42" t="s">
        <v>89</v>
      </c>
      <c r="D5" s="126" t="s">
        <v>90</v>
      </c>
      <c r="E5" s="58">
        <v>4950</v>
      </c>
      <c r="F5" s="59"/>
      <c r="G5" s="59"/>
      <c r="H5" s="59"/>
      <c r="I5" s="161">
        <v>6000</v>
      </c>
      <c r="J5" s="140" t="s">
        <v>157</v>
      </c>
      <c r="K5" s="13"/>
    </row>
    <row r="6" spans="1:11" ht="68.25" thickBot="1" x14ac:dyDescent="0.3">
      <c r="A6" s="130" t="s">
        <v>162</v>
      </c>
      <c r="B6" s="22">
        <v>38000</v>
      </c>
      <c r="C6" s="22">
        <f>22500+930+3407.36+1386</f>
        <v>28223.360000000001</v>
      </c>
      <c r="D6" s="22">
        <f>930+9330+180+2445+3407.36+7432.5</f>
        <v>23724.86</v>
      </c>
      <c r="E6" s="57">
        <f>38500+4800</f>
        <v>43300</v>
      </c>
      <c r="F6" s="57">
        <v>38500</v>
      </c>
      <c r="G6" s="57">
        <f>22500+5496+3415+1570.8</f>
        <v>32981.800000000003</v>
      </c>
      <c r="H6" s="57">
        <f>5400+5496+1567.5+4530+3415+1264.8</f>
        <v>21673.3</v>
      </c>
      <c r="I6" s="161">
        <v>5000</v>
      </c>
      <c r="J6" s="125" t="s">
        <v>158</v>
      </c>
      <c r="K6" s="14"/>
    </row>
    <row r="7" spans="1:11" x14ac:dyDescent="0.25">
      <c r="A7" s="131" t="s">
        <v>96</v>
      </c>
      <c r="B7" s="19">
        <f>SUM(B8:B17)</f>
        <v>94700</v>
      </c>
      <c r="C7" s="19">
        <f>SUM(C8:C17)</f>
        <v>85969.06</v>
      </c>
      <c r="D7" s="19">
        <f>SUM(D8:D17)</f>
        <v>85969.06</v>
      </c>
      <c r="E7" s="181">
        <f>E8+E12+E13+E17</f>
        <v>194160.4</v>
      </c>
      <c r="F7" s="181">
        <f t="shared" ref="F7:I7" si="0">F8+F12+F13+F17</f>
        <v>0</v>
      </c>
      <c r="G7" s="181">
        <f t="shared" si="0"/>
        <v>13161.75</v>
      </c>
      <c r="H7" s="181">
        <f t="shared" si="0"/>
        <v>103521.89</v>
      </c>
      <c r="I7" s="182">
        <f t="shared" si="0"/>
        <v>205301.98</v>
      </c>
      <c r="J7" s="48"/>
      <c r="K7" s="13"/>
    </row>
    <row r="8" spans="1:11" ht="15" customHeight="1" x14ac:dyDescent="0.25">
      <c r="A8" s="132" t="s">
        <v>9</v>
      </c>
      <c r="B8" s="43">
        <v>0</v>
      </c>
      <c r="C8" s="43"/>
      <c r="D8" s="43"/>
      <c r="E8" s="127">
        <f>E9+E10+E11</f>
        <v>108060.4</v>
      </c>
      <c r="F8" s="127">
        <f t="shared" ref="F8:H8" si="1">F9+F10+F11</f>
        <v>0</v>
      </c>
      <c r="G8" s="127">
        <f t="shared" si="1"/>
        <v>13161.75</v>
      </c>
      <c r="H8" s="127">
        <f t="shared" si="1"/>
        <v>13161.75</v>
      </c>
      <c r="I8" s="169">
        <f>SUM(I9:I11)</f>
        <v>114217.98000000001</v>
      </c>
      <c r="J8" s="193" t="s">
        <v>159</v>
      </c>
      <c r="K8" s="13"/>
    </row>
    <row r="9" spans="1:11" ht="22.15" customHeight="1" x14ac:dyDescent="0.25">
      <c r="A9" s="133" t="s">
        <v>91</v>
      </c>
      <c r="B9" s="43"/>
      <c r="C9" s="43"/>
      <c r="D9" s="43"/>
      <c r="E9" s="128">
        <v>13161.75</v>
      </c>
      <c r="F9" s="128"/>
      <c r="G9" s="128">
        <v>13161.75</v>
      </c>
      <c r="H9" s="128">
        <v>13161.75</v>
      </c>
      <c r="I9" s="170">
        <v>14610.75</v>
      </c>
      <c r="J9" s="194"/>
    </row>
    <row r="10" spans="1:11" x14ac:dyDescent="0.25">
      <c r="A10" s="133" t="s">
        <v>92</v>
      </c>
      <c r="B10" s="43"/>
      <c r="C10" s="43"/>
      <c r="D10" s="43"/>
      <c r="E10" s="128">
        <v>39196.400000000001</v>
      </c>
      <c r="F10" s="128"/>
      <c r="G10" s="128"/>
      <c r="H10" s="128"/>
      <c r="I10" s="170">
        <v>27958.18</v>
      </c>
      <c r="J10" s="194"/>
    </row>
    <row r="11" spans="1:11" x14ac:dyDescent="0.25">
      <c r="A11" s="133" t="s">
        <v>93</v>
      </c>
      <c r="B11" s="43"/>
      <c r="C11" s="43"/>
      <c r="D11" s="43"/>
      <c r="E11" s="128">
        <v>55702.25</v>
      </c>
      <c r="F11" s="128"/>
      <c r="G11" s="128"/>
      <c r="H11" s="128"/>
      <c r="I11" s="170">
        <v>71649.05</v>
      </c>
      <c r="J11" s="195"/>
    </row>
    <row r="12" spans="1:11" x14ac:dyDescent="0.25">
      <c r="A12" s="132" t="s">
        <v>16</v>
      </c>
      <c r="B12" s="43">
        <f>85000</f>
        <v>85000</v>
      </c>
      <c r="C12" s="43">
        <f>57838+18089.44</f>
        <v>75927.44</v>
      </c>
      <c r="D12" s="43">
        <f>57838+18089.44</f>
        <v>75927.44</v>
      </c>
      <c r="E12" s="127">
        <v>76000</v>
      </c>
      <c r="F12" s="127"/>
      <c r="G12" s="127"/>
      <c r="H12" s="127">
        <f>57838+22483.14</f>
        <v>80321.14</v>
      </c>
      <c r="I12" s="169">
        <v>81000</v>
      </c>
      <c r="J12" s="49" t="s">
        <v>94</v>
      </c>
    </row>
    <row r="13" spans="1:11" x14ac:dyDescent="0.25">
      <c r="A13" s="132" t="s">
        <v>29</v>
      </c>
      <c r="B13" s="43">
        <v>6800</v>
      </c>
      <c r="C13" s="43">
        <v>6784</v>
      </c>
      <c r="D13" s="43">
        <v>6784</v>
      </c>
      <c r="E13" s="127">
        <v>6800</v>
      </c>
      <c r="F13" s="127"/>
      <c r="G13" s="127"/>
      <c r="H13" s="127">
        <v>6784</v>
      </c>
      <c r="I13" s="169">
        <f>SUM(I14:I16)</f>
        <v>6784</v>
      </c>
      <c r="J13" s="49" t="s">
        <v>160</v>
      </c>
    </row>
    <row r="14" spans="1:11" x14ac:dyDescent="0.25">
      <c r="A14" s="133" t="s">
        <v>91</v>
      </c>
      <c r="B14" s="43"/>
      <c r="C14" s="43"/>
      <c r="D14" s="43"/>
      <c r="E14" s="127"/>
      <c r="F14" s="127"/>
      <c r="G14" s="127"/>
      <c r="H14" s="127"/>
      <c r="I14" s="178">
        <v>4508</v>
      </c>
      <c r="J14" s="49"/>
    </row>
    <row r="15" spans="1:11" x14ac:dyDescent="0.25">
      <c r="A15" s="133" t="s">
        <v>150</v>
      </c>
      <c r="B15" s="43"/>
      <c r="C15" s="43"/>
      <c r="D15" s="43"/>
      <c r="E15" s="127"/>
      <c r="F15" s="127"/>
      <c r="G15" s="127"/>
      <c r="H15" s="127"/>
      <c r="I15" s="178">
        <v>785</v>
      </c>
      <c r="J15" s="49"/>
    </row>
    <row r="16" spans="1:11" x14ac:dyDescent="0.25">
      <c r="A16" s="133" t="s">
        <v>155</v>
      </c>
      <c r="B16" s="43"/>
      <c r="C16" s="43"/>
      <c r="D16" s="43"/>
      <c r="E16" s="127"/>
      <c r="F16" s="127"/>
      <c r="G16" s="127"/>
      <c r="H16" s="127"/>
      <c r="I16" s="178">
        <v>1491</v>
      </c>
      <c r="J16" s="49" t="s">
        <v>156</v>
      </c>
    </row>
    <row r="17" spans="1:10" ht="15.75" thickBot="1" x14ac:dyDescent="0.3">
      <c r="A17" s="132" t="s">
        <v>17</v>
      </c>
      <c r="B17" s="43">
        <v>2900</v>
      </c>
      <c r="C17" s="43">
        <v>3257.62</v>
      </c>
      <c r="D17" s="43">
        <v>3257.62</v>
      </c>
      <c r="E17" s="127">
        <v>3300</v>
      </c>
      <c r="F17" s="127"/>
      <c r="G17" s="127"/>
      <c r="H17" s="127">
        <v>3255</v>
      </c>
      <c r="I17" s="169">
        <v>3300</v>
      </c>
      <c r="J17" s="49" t="s">
        <v>65</v>
      </c>
    </row>
    <row r="18" spans="1:10" ht="15.75" thickBot="1" x14ac:dyDescent="0.3">
      <c r="A18" s="134" t="s">
        <v>18</v>
      </c>
      <c r="B18" s="30">
        <v>3177</v>
      </c>
      <c r="C18" s="30">
        <v>3177</v>
      </c>
      <c r="D18" s="30">
        <v>3177</v>
      </c>
      <c r="E18" s="61">
        <v>3200</v>
      </c>
      <c r="F18" s="61"/>
      <c r="G18" s="61"/>
      <c r="H18" s="61">
        <v>3177</v>
      </c>
      <c r="I18" s="171">
        <v>3200</v>
      </c>
      <c r="J18" s="50" t="s">
        <v>95</v>
      </c>
    </row>
    <row r="19" spans="1:10" ht="27.75" thickBot="1" x14ac:dyDescent="0.3">
      <c r="A19" s="134" t="s">
        <v>165</v>
      </c>
      <c r="B19" s="30"/>
      <c r="C19" s="30"/>
      <c r="D19" s="30"/>
      <c r="E19" s="61"/>
      <c r="F19" s="61"/>
      <c r="G19" s="61"/>
      <c r="H19" s="61"/>
      <c r="I19" s="171">
        <v>8700</v>
      </c>
      <c r="J19" s="196" t="s">
        <v>167</v>
      </c>
    </row>
    <row r="20" spans="1:10" ht="27.75" thickBot="1" x14ac:dyDescent="0.3">
      <c r="A20" s="134" t="s">
        <v>166</v>
      </c>
      <c r="B20" s="30"/>
      <c r="C20" s="30"/>
      <c r="D20" s="30"/>
      <c r="E20" s="61"/>
      <c r="F20" s="61"/>
      <c r="G20" s="61"/>
      <c r="H20" s="61"/>
      <c r="I20" s="171">
        <v>1650</v>
      </c>
      <c r="J20" s="197"/>
    </row>
    <row r="21" spans="1:10" ht="41.25" thickBot="1" x14ac:dyDescent="0.3">
      <c r="A21" s="142" t="s">
        <v>173</v>
      </c>
      <c r="B21" s="143"/>
      <c r="C21" s="143"/>
      <c r="D21" s="143"/>
      <c r="E21" s="144">
        <v>5950</v>
      </c>
      <c r="F21" s="144"/>
      <c r="G21" s="144"/>
      <c r="H21" s="144"/>
      <c r="I21" s="172"/>
      <c r="J21" s="145" t="s">
        <v>121</v>
      </c>
    </row>
    <row r="22" spans="1:10" ht="30.6" customHeight="1" thickBot="1" x14ac:dyDescent="0.3">
      <c r="A22" s="183" t="s">
        <v>164</v>
      </c>
      <c r="B22" s="18" t="e">
        <f>#REF!+B18+B7+B6+#REF!+#REF!+B4</f>
        <v>#REF!</v>
      </c>
      <c r="C22" s="18" t="e">
        <f>C18+C7+C6+#REF!+C3+C4</f>
        <v>#REF!</v>
      </c>
      <c r="D22" s="18" t="e">
        <f>D18+D7+D6+#REF!+D3</f>
        <v>#REF!</v>
      </c>
      <c r="E22" s="62">
        <f>E21+E18+E7+E6+E5+E4+E3</f>
        <v>309580.40000000002</v>
      </c>
      <c r="F22" s="62">
        <f t="shared" ref="F22:H22" si="2">F21+F18+F7+F6+F5+F4+F3</f>
        <v>77000</v>
      </c>
      <c r="G22" s="62">
        <f>G21+G18+G7+G6+G5+83241.69+G3</f>
        <v>132800.28</v>
      </c>
      <c r="H22" s="62">
        <f t="shared" si="2"/>
        <v>215028.92</v>
      </c>
      <c r="I22" s="166">
        <f>I21+I18+I7+I6+I5+I3</f>
        <v>222917.02000000002</v>
      </c>
      <c r="J22" s="51"/>
    </row>
    <row r="23" spans="1:10" x14ac:dyDescent="0.25">
      <c r="A23" s="3"/>
    </row>
    <row r="24" spans="1:10" x14ac:dyDescent="0.25">
      <c r="F24" s="135"/>
      <c r="G24" s="135"/>
      <c r="H24" s="135"/>
      <c r="I24" s="135"/>
    </row>
  </sheetData>
  <mergeCells count="2">
    <mergeCell ref="J8:J11"/>
    <mergeCell ref="J19:J20"/>
  </mergeCells>
  <pageMargins left="0.25" right="0.25" top="0.75" bottom="0.75" header="0.3" footer="0.3"/>
  <pageSetup paperSize="8"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
  <sheetViews>
    <sheetView topLeftCell="A4" zoomScale="120" zoomScaleNormal="120" workbookViewId="0">
      <selection activeCell="E11" sqref="E11:E14"/>
    </sheetView>
  </sheetViews>
  <sheetFormatPr baseColWidth="10" defaultRowHeight="15" x14ac:dyDescent="0.25"/>
  <cols>
    <col min="1" max="1" width="56.28515625" customWidth="1"/>
    <col min="2" max="2" width="15.140625" customWidth="1"/>
    <col min="3" max="3" width="16.5703125" customWidth="1"/>
    <col min="4" max="5" width="15.140625" customWidth="1"/>
    <col min="6" max="6" width="68.85546875" customWidth="1"/>
    <col min="7" max="7" width="17.7109375" customWidth="1"/>
    <col min="8" max="8" width="11.42578125" customWidth="1"/>
    <col min="9" max="9" width="13.140625" customWidth="1"/>
  </cols>
  <sheetData>
    <row r="1" spans="1:7" ht="15.75" thickBot="1" x14ac:dyDescent="0.3">
      <c r="A1" s="1" t="s">
        <v>80</v>
      </c>
      <c r="B1" s="41"/>
      <c r="C1" s="41"/>
      <c r="D1" s="41"/>
      <c r="E1" s="41"/>
      <c r="F1" s="41"/>
    </row>
    <row r="2" spans="1:7" ht="26.25" thickBot="1" x14ac:dyDescent="0.3">
      <c r="A2" s="2" t="s">
        <v>5</v>
      </c>
      <c r="B2" s="63" t="s">
        <v>123</v>
      </c>
      <c r="C2" s="63" t="s">
        <v>124</v>
      </c>
      <c r="D2" s="63" t="s">
        <v>120</v>
      </c>
      <c r="E2" s="146" t="s">
        <v>135</v>
      </c>
      <c r="F2" s="52" t="s">
        <v>15</v>
      </c>
    </row>
    <row r="3" spans="1:7" ht="15.75" thickBot="1" x14ac:dyDescent="0.3">
      <c r="A3" s="38" t="s">
        <v>22</v>
      </c>
      <c r="B3" s="63"/>
      <c r="C3" s="63"/>
      <c r="D3" s="63"/>
      <c r="E3" s="146"/>
      <c r="F3" s="52"/>
      <c r="G3" s="4"/>
    </row>
    <row r="4" spans="1:7" ht="27.75" thickBot="1" x14ac:dyDescent="0.3">
      <c r="A4" s="32" t="s">
        <v>105</v>
      </c>
      <c r="B4" s="57">
        <v>35000</v>
      </c>
      <c r="C4" s="201">
        <v>20000</v>
      </c>
      <c r="D4" s="57">
        <v>0</v>
      </c>
      <c r="E4" s="160">
        <v>35000</v>
      </c>
      <c r="F4" s="49" t="s">
        <v>125</v>
      </c>
      <c r="G4" s="4"/>
    </row>
    <row r="5" spans="1:7" x14ac:dyDescent="0.25">
      <c r="A5" s="33" t="s">
        <v>104</v>
      </c>
      <c r="B5" s="198">
        <f>1500+3000</f>
        <v>4500</v>
      </c>
      <c r="C5" s="202"/>
      <c r="D5" s="136"/>
      <c r="E5" s="207">
        <v>4500</v>
      </c>
      <c r="F5" s="48"/>
      <c r="G5" s="4"/>
    </row>
    <row r="6" spans="1:7" x14ac:dyDescent="0.25">
      <c r="A6" s="34" t="s">
        <v>85</v>
      </c>
      <c r="B6" s="199"/>
      <c r="C6" s="202"/>
      <c r="D6" s="137">
        <v>0</v>
      </c>
      <c r="E6" s="208"/>
      <c r="F6" s="49" t="s">
        <v>100</v>
      </c>
      <c r="G6" s="4"/>
    </row>
    <row r="7" spans="1:7" x14ac:dyDescent="0.25">
      <c r="A7" s="34" t="s">
        <v>7</v>
      </c>
      <c r="B7" s="199"/>
      <c r="C7" s="202"/>
      <c r="D7" s="137"/>
      <c r="E7" s="208"/>
      <c r="F7" s="46"/>
      <c r="G7" s="4"/>
    </row>
    <row r="8" spans="1:7" ht="15.75" thickBot="1" x14ac:dyDescent="0.3">
      <c r="A8" s="35" t="s">
        <v>81</v>
      </c>
      <c r="B8" s="200"/>
      <c r="C8" s="203"/>
      <c r="D8" s="138"/>
      <c r="E8" s="209"/>
      <c r="F8" s="53"/>
      <c r="G8" s="4"/>
    </row>
    <row r="9" spans="1:7" ht="15.75" thickBot="1" x14ac:dyDescent="0.3">
      <c r="A9" s="39" t="s">
        <v>13</v>
      </c>
      <c r="B9" s="65">
        <v>520</v>
      </c>
      <c r="C9" s="65">
        <v>520</v>
      </c>
      <c r="D9" s="65"/>
      <c r="E9" s="160"/>
      <c r="F9" s="54" t="s">
        <v>14</v>
      </c>
      <c r="G9" s="4"/>
    </row>
    <row r="10" spans="1:7" ht="15.75" thickBot="1" x14ac:dyDescent="0.3">
      <c r="A10" s="40" t="s">
        <v>23</v>
      </c>
      <c r="B10" s="57"/>
      <c r="C10" s="57"/>
      <c r="D10" s="57"/>
      <c r="E10" s="161"/>
      <c r="F10" s="45"/>
      <c r="G10" s="4"/>
    </row>
    <row r="11" spans="1:7" x14ac:dyDescent="0.25">
      <c r="A11" s="36" t="s">
        <v>10</v>
      </c>
      <c r="B11" s="60"/>
      <c r="C11" s="60"/>
      <c r="D11" s="60"/>
      <c r="E11" s="204" t="s">
        <v>154</v>
      </c>
      <c r="F11" s="48"/>
      <c r="G11" s="4"/>
    </row>
    <row r="12" spans="1:7" ht="33.200000000000003" customHeight="1" x14ac:dyDescent="0.25">
      <c r="A12" s="34" t="s">
        <v>106</v>
      </c>
      <c r="B12" s="58">
        <v>2000</v>
      </c>
      <c r="C12" s="139" t="s">
        <v>126</v>
      </c>
      <c r="D12" s="58"/>
      <c r="E12" s="205"/>
      <c r="F12" s="47" t="s">
        <v>99</v>
      </c>
      <c r="G12" s="4"/>
    </row>
    <row r="13" spans="1:7" ht="28.5" customHeight="1" x14ac:dyDescent="0.25">
      <c r="A13" s="34" t="s">
        <v>12</v>
      </c>
      <c r="B13" s="58"/>
      <c r="C13" s="139" t="s">
        <v>127</v>
      </c>
      <c r="D13" s="58"/>
      <c r="E13" s="205"/>
      <c r="F13" s="49" t="s">
        <v>64</v>
      </c>
      <c r="G13" s="4"/>
    </row>
    <row r="14" spans="1:7" ht="15.75" thickBot="1" x14ac:dyDescent="0.3">
      <c r="A14" s="35" t="s">
        <v>11</v>
      </c>
      <c r="B14" s="64" t="s">
        <v>82</v>
      </c>
      <c r="C14" s="64"/>
      <c r="D14" s="64"/>
      <c r="E14" s="206"/>
      <c r="F14" s="53"/>
      <c r="G14" s="4"/>
    </row>
    <row r="15" spans="1:7" ht="15.75" thickBot="1" x14ac:dyDescent="0.3">
      <c r="A15" s="36" t="s">
        <v>115</v>
      </c>
      <c r="B15" s="64">
        <v>486</v>
      </c>
      <c r="C15" s="64">
        <v>486</v>
      </c>
      <c r="D15" s="64">
        <v>486</v>
      </c>
      <c r="E15" s="164"/>
      <c r="F15" s="53"/>
      <c r="G15" s="4"/>
    </row>
    <row r="16" spans="1:7" ht="15.75" thickBot="1" x14ac:dyDescent="0.3">
      <c r="A16" s="36" t="s">
        <v>101</v>
      </c>
      <c r="B16" s="64">
        <v>4631.74</v>
      </c>
      <c r="C16" s="64">
        <v>4631.74</v>
      </c>
      <c r="D16" s="64">
        <v>4631.74</v>
      </c>
      <c r="E16" s="164"/>
      <c r="F16" s="75" t="s">
        <v>83</v>
      </c>
      <c r="G16" s="4"/>
    </row>
    <row r="17" spans="1:7" ht="15.75" thickBot="1" x14ac:dyDescent="0.3">
      <c r="A17" s="44" t="s">
        <v>102</v>
      </c>
      <c r="B17" s="64">
        <v>1000</v>
      </c>
      <c r="C17" s="64">
        <v>1000</v>
      </c>
      <c r="D17" s="64">
        <v>1000</v>
      </c>
      <c r="E17" s="164"/>
      <c r="F17" s="98" t="s">
        <v>84</v>
      </c>
      <c r="G17" s="4"/>
    </row>
    <row r="18" spans="1:7" ht="15.75" thickBot="1" x14ac:dyDescent="0.3">
      <c r="A18" s="44" t="s">
        <v>153</v>
      </c>
      <c r="B18" s="64">
        <v>2800</v>
      </c>
      <c r="C18" s="64">
        <v>2800</v>
      </c>
      <c r="D18" s="64">
        <v>2800</v>
      </c>
      <c r="E18" s="164">
        <v>2800</v>
      </c>
      <c r="F18" s="98"/>
      <c r="G18" s="4"/>
    </row>
    <row r="19" spans="1:7" ht="27.75" thickBot="1" x14ac:dyDescent="0.3">
      <c r="A19" s="44" t="s">
        <v>86</v>
      </c>
      <c r="B19" s="64" t="s">
        <v>0</v>
      </c>
      <c r="C19" s="64" t="s">
        <v>0</v>
      </c>
      <c r="D19" s="64" t="s">
        <v>0</v>
      </c>
      <c r="E19" s="164"/>
      <c r="F19" s="124" t="s">
        <v>87</v>
      </c>
      <c r="G19" s="4"/>
    </row>
    <row r="20" spans="1:7" ht="15.75" thickBot="1" x14ac:dyDescent="0.3">
      <c r="A20" s="37" t="s">
        <v>103</v>
      </c>
      <c r="B20" s="57">
        <v>500</v>
      </c>
      <c r="C20" s="57">
        <v>500</v>
      </c>
      <c r="D20" s="57"/>
      <c r="E20" s="161"/>
      <c r="F20" s="45"/>
      <c r="G20" s="4"/>
    </row>
    <row r="21" spans="1:7" ht="15.75" thickBot="1" x14ac:dyDescent="0.3">
      <c r="A21" s="3"/>
      <c r="B21" s="66">
        <f>SUM(B4:B20)</f>
        <v>51437.74</v>
      </c>
      <c r="C21" s="66">
        <f t="shared" ref="C21:D21" si="0">SUM(C4:C20)</f>
        <v>29937.739999999998</v>
      </c>
      <c r="D21" s="66">
        <f t="shared" si="0"/>
        <v>8917.74</v>
      </c>
      <c r="E21" s="165"/>
      <c r="F21" s="55"/>
      <c r="G21" s="4"/>
    </row>
    <row r="22" spans="1:7" x14ac:dyDescent="0.25">
      <c r="A22" s="6"/>
      <c r="B22" s="7"/>
      <c r="C22" s="7"/>
      <c r="D22" s="7"/>
      <c r="E22" s="7"/>
      <c r="F22" s="8"/>
      <c r="G22" s="8"/>
    </row>
    <row r="23" spans="1:7" ht="16.5" x14ac:dyDescent="0.3">
      <c r="F23" s="20"/>
    </row>
    <row r="24" spans="1:7" ht="16.5" x14ac:dyDescent="0.3">
      <c r="F24" s="20"/>
      <c r="G24" s="13"/>
    </row>
    <row r="25" spans="1:7" ht="16.5" x14ac:dyDescent="0.3">
      <c r="F25" s="20"/>
      <c r="G25" s="13"/>
    </row>
    <row r="26" spans="1:7" ht="16.5" x14ac:dyDescent="0.3">
      <c r="F26" s="20"/>
      <c r="G26" s="13"/>
    </row>
    <row r="27" spans="1:7" ht="16.5" x14ac:dyDescent="0.3">
      <c r="F27" s="20"/>
      <c r="G27" s="13"/>
    </row>
    <row r="28" spans="1:7" ht="16.5" x14ac:dyDescent="0.3">
      <c r="F28" s="20"/>
      <c r="G28" s="13"/>
    </row>
    <row r="29" spans="1:7" ht="16.5" x14ac:dyDescent="0.3">
      <c r="F29" s="20"/>
      <c r="G29" s="13"/>
    </row>
    <row r="30" spans="1:7" ht="16.5" x14ac:dyDescent="0.3">
      <c r="F30" s="20"/>
      <c r="G30" s="13"/>
    </row>
    <row r="31" spans="1:7" ht="16.5" x14ac:dyDescent="0.3">
      <c r="F31" s="20"/>
      <c r="G31" s="13"/>
    </row>
    <row r="32" spans="1:7" ht="16.5" x14ac:dyDescent="0.3">
      <c r="F32" s="20"/>
      <c r="G32" s="13"/>
    </row>
    <row r="33" spans="6:7" ht="16.5" x14ac:dyDescent="0.3">
      <c r="F33" s="20"/>
      <c r="G33" s="13"/>
    </row>
    <row r="34" spans="6:7" ht="16.5" x14ac:dyDescent="0.3">
      <c r="F34" s="20"/>
      <c r="G34" s="13"/>
    </row>
    <row r="35" spans="6:7" ht="16.5" x14ac:dyDescent="0.3">
      <c r="F35" s="20"/>
      <c r="G35" s="13"/>
    </row>
    <row r="36" spans="6:7" x14ac:dyDescent="0.25">
      <c r="G36" s="13"/>
    </row>
    <row r="37" spans="6:7" ht="16.5" x14ac:dyDescent="0.3">
      <c r="F37" s="20"/>
      <c r="G37" s="13"/>
    </row>
    <row r="38" spans="6:7" ht="16.5" x14ac:dyDescent="0.3">
      <c r="F38" s="20"/>
      <c r="G38" s="13"/>
    </row>
    <row r="39" spans="6:7" ht="16.5" x14ac:dyDescent="0.3">
      <c r="F39" s="20"/>
      <c r="G39" s="13"/>
    </row>
    <row r="40" spans="6:7" ht="16.5" x14ac:dyDescent="0.3">
      <c r="F40" s="20"/>
      <c r="G40" s="13"/>
    </row>
    <row r="41" spans="6:7" ht="16.5" x14ac:dyDescent="0.3">
      <c r="F41" s="20"/>
      <c r="G41" s="13"/>
    </row>
    <row r="42" spans="6:7" ht="16.5" x14ac:dyDescent="0.3">
      <c r="F42" s="20"/>
      <c r="G42" s="14"/>
    </row>
    <row r="43" spans="6:7" ht="16.5" x14ac:dyDescent="0.3">
      <c r="F43" s="20"/>
      <c r="G43" s="13"/>
    </row>
    <row r="44" spans="6:7" ht="16.5" x14ac:dyDescent="0.3">
      <c r="F44" s="20"/>
      <c r="G44" s="13"/>
    </row>
  </sheetData>
  <mergeCells count="4">
    <mergeCell ref="B5:B8"/>
    <mergeCell ref="C4:C8"/>
    <mergeCell ref="E11:E14"/>
    <mergeCell ref="E5:E8"/>
  </mergeCells>
  <pageMargins left="0.82677165354330717" right="0.82677165354330717" top="0.55118110236220474" bottom="0.55118110236220474"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7"/>
  <sheetViews>
    <sheetView topLeftCell="A28" zoomScale="130" zoomScaleNormal="130" workbookViewId="0">
      <selection activeCell="B3" sqref="B3"/>
    </sheetView>
  </sheetViews>
  <sheetFormatPr baseColWidth="10" defaultRowHeight="15" x14ac:dyDescent="0.25"/>
  <cols>
    <col min="1" max="1" width="16" customWidth="1"/>
    <col min="2" max="2" width="56.28515625" customWidth="1"/>
    <col min="3" max="3" width="15.140625" customWidth="1"/>
    <col min="4" max="4" width="16.7109375" customWidth="1"/>
    <col min="5" max="5" width="17.7109375" customWidth="1"/>
    <col min="6" max="6" width="20.7109375" customWidth="1"/>
    <col min="7" max="7" width="45.140625" customWidth="1"/>
  </cols>
  <sheetData>
    <row r="1" spans="1:7" ht="15.75" thickBot="1" x14ac:dyDescent="0.3">
      <c r="A1" s="1" t="s">
        <v>140</v>
      </c>
      <c r="C1" s="41">
        <v>43795</v>
      </c>
      <c r="D1" s="41"/>
    </row>
    <row r="2" spans="1:7" ht="39" thickBot="1" x14ac:dyDescent="0.3">
      <c r="A2" s="31" t="s">
        <v>67</v>
      </c>
      <c r="C2" s="52" t="s">
        <v>143</v>
      </c>
      <c r="D2" s="63" t="s">
        <v>30</v>
      </c>
      <c r="E2" s="63" t="s">
        <v>114</v>
      </c>
      <c r="F2" s="146" t="s">
        <v>135</v>
      </c>
      <c r="G2" s="52" t="s">
        <v>60</v>
      </c>
    </row>
    <row r="3" spans="1:7" ht="15.75" thickBot="1" x14ac:dyDescent="0.3">
      <c r="A3" s="23" t="s">
        <v>31</v>
      </c>
      <c r="B3" s="69" t="s">
        <v>32</v>
      </c>
      <c r="C3" s="99">
        <v>50287</v>
      </c>
      <c r="D3" s="99">
        <f>SUM(D4:D16)</f>
        <v>45852.2</v>
      </c>
      <c r="E3" s="99"/>
      <c r="F3" s="99">
        <f>SUM(F4:F16)</f>
        <v>47739.199999999997</v>
      </c>
      <c r="G3" s="88"/>
    </row>
    <row r="4" spans="1:7" ht="16.5" x14ac:dyDescent="0.25">
      <c r="A4" s="23"/>
      <c r="B4" s="78" t="s">
        <v>33</v>
      </c>
      <c r="C4" s="82"/>
      <c r="D4" s="85">
        <v>39000</v>
      </c>
      <c r="E4" s="85"/>
      <c r="F4" s="148">
        <v>40000</v>
      </c>
      <c r="G4" s="93"/>
    </row>
    <row r="5" spans="1:7" ht="20.100000000000001" customHeight="1" x14ac:dyDescent="0.25">
      <c r="A5" s="10"/>
      <c r="B5" s="80" t="s">
        <v>61</v>
      </c>
      <c r="C5" s="83"/>
      <c r="D5" s="86" t="s">
        <v>128</v>
      </c>
      <c r="E5" s="86"/>
      <c r="F5" s="149" t="s">
        <v>128</v>
      </c>
      <c r="G5" s="91" t="s">
        <v>107</v>
      </c>
    </row>
    <row r="6" spans="1:7" ht="16.5" x14ac:dyDescent="0.25">
      <c r="A6" s="10" t="s">
        <v>51</v>
      </c>
      <c r="B6" s="80" t="s">
        <v>52</v>
      </c>
      <c r="C6" s="83"/>
      <c r="D6" s="86">
        <v>150</v>
      </c>
      <c r="E6" s="86"/>
      <c r="F6" s="149">
        <v>150</v>
      </c>
      <c r="G6" s="91"/>
    </row>
    <row r="7" spans="1:7" ht="16.5" x14ac:dyDescent="0.25">
      <c r="A7" s="10" t="s">
        <v>56</v>
      </c>
      <c r="B7" s="80" t="s">
        <v>54</v>
      </c>
      <c r="C7" s="83"/>
      <c r="D7" s="86">
        <v>100</v>
      </c>
      <c r="E7" s="86"/>
      <c r="F7" s="149">
        <v>100</v>
      </c>
      <c r="G7" s="91"/>
    </row>
    <row r="8" spans="1:7" ht="16.5" x14ac:dyDescent="0.25">
      <c r="A8" s="10" t="s">
        <v>57</v>
      </c>
      <c r="B8" s="80" t="s">
        <v>55</v>
      </c>
      <c r="C8" s="83"/>
      <c r="D8" s="86">
        <v>740</v>
      </c>
      <c r="E8" s="86"/>
      <c r="F8" s="149">
        <v>1400</v>
      </c>
      <c r="G8" s="91" t="s">
        <v>108</v>
      </c>
    </row>
    <row r="9" spans="1:7" ht="33" x14ac:dyDescent="0.25">
      <c r="A9" s="10" t="s">
        <v>46</v>
      </c>
      <c r="B9" s="79" t="s">
        <v>36</v>
      </c>
      <c r="C9" s="83"/>
      <c r="D9" s="86">
        <v>350</v>
      </c>
      <c r="E9" s="86">
        <v>0</v>
      </c>
      <c r="F9" s="149">
        <v>600</v>
      </c>
      <c r="G9" s="91" t="s">
        <v>141</v>
      </c>
    </row>
    <row r="10" spans="1:7" ht="16.5" x14ac:dyDescent="0.25">
      <c r="A10" s="10"/>
      <c r="B10" s="79" t="s">
        <v>37</v>
      </c>
      <c r="C10" s="83"/>
      <c r="D10" s="86">
        <v>2611</v>
      </c>
      <c r="E10" s="86"/>
      <c r="F10" s="149">
        <v>2611</v>
      </c>
      <c r="G10" s="91"/>
    </row>
    <row r="11" spans="1:7" ht="20.25" customHeight="1" x14ac:dyDescent="0.25">
      <c r="A11" s="10" t="s">
        <v>113</v>
      </c>
      <c r="B11" s="79" t="s">
        <v>111</v>
      </c>
      <c r="C11" s="83"/>
      <c r="D11" s="86">
        <v>452</v>
      </c>
      <c r="E11" s="86"/>
      <c r="F11" s="149">
        <v>200</v>
      </c>
      <c r="G11" s="91"/>
    </row>
    <row r="12" spans="1:7" ht="33.950000000000003" customHeight="1" x14ac:dyDescent="0.25">
      <c r="A12" s="10" t="s">
        <v>53</v>
      </c>
      <c r="B12" s="79" t="s">
        <v>112</v>
      </c>
      <c r="C12" s="83"/>
      <c r="D12" s="86">
        <v>471</v>
      </c>
      <c r="E12" s="86"/>
      <c r="F12" s="149">
        <v>700</v>
      </c>
      <c r="G12" s="91"/>
    </row>
    <row r="13" spans="1:7" ht="33" x14ac:dyDescent="0.25">
      <c r="A13" s="10"/>
      <c r="B13" s="79" t="s">
        <v>38</v>
      </c>
      <c r="C13" s="83"/>
      <c r="D13" s="86">
        <f>1.77*100</f>
        <v>177</v>
      </c>
      <c r="E13" s="86"/>
      <c r="F13" s="149">
        <f>1.77*100</f>
        <v>177</v>
      </c>
      <c r="G13" s="91"/>
    </row>
    <row r="14" spans="1:7" ht="33" x14ac:dyDescent="0.25">
      <c r="A14" s="10" t="s">
        <v>44</v>
      </c>
      <c r="B14" s="79" t="s">
        <v>39</v>
      </c>
      <c r="C14" s="83"/>
      <c r="D14" s="86">
        <f>876*1.2</f>
        <v>1051.2</v>
      </c>
      <c r="E14" s="86"/>
      <c r="F14" s="149">
        <f>876*1.2</f>
        <v>1051.2</v>
      </c>
      <c r="G14" s="91"/>
    </row>
    <row r="15" spans="1:7" ht="16.5" x14ac:dyDescent="0.25">
      <c r="A15" s="10"/>
      <c r="B15" s="79" t="s">
        <v>40</v>
      </c>
      <c r="C15" s="83"/>
      <c r="D15" s="86">
        <f>150</f>
        <v>150</v>
      </c>
      <c r="E15" s="86"/>
      <c r="F15" s="149">
        <f>150</f>
        <v>150</v>
      </c>
      <c r="G15" s="91"/>
    </row>
    <row r="16" spans="1:7" ht="17.25" thickBot="1" x14ac:dyDescent="0.3">
      <c r="A16" s="10" t="s">
        <v>45</v>
      </c>
      <c r="B16" s="81" t="s">
        <v>41</v>
      </c>
      <c r="C16" s="84"/>
      <c r="D16" s="87">
        <f>600</f>
        <v>600</v>
      </c>
      <c r="E16" s="87"/>
      <c r="F16" s="151">
        <v>600</v>
      </c>
      <c r="G16" s="91"/>
    </row>
    <row r="17" spans="1:7" ht="17.25" thickBot="1" x14ac:dyDescent="0.3">
      <c r="A17" s="10"/>
      <c r="B17" s="100" t="s">
        <v>68</v>
      </c>
      <c r="C17" s="101">
        <v>6500</v>
      </c>
      <c r="D17" s="101">
        <f>SUM(D18:D25)</f>
        <v>7273.4719999999998</v>
      </c>
      <c r="E17" s="101"/>
      <c r="F17" s="101">
        <v>6500</v>
      </c>
      <c r="G17" s="94"/>
    </row>
    <row r="18" spans="1:7" ht="16.5" x14ac:dyDescent="0.25">
      <c r="A18" s="10" t="s">
        <v>48</v>
      </c>
      <c r="B18" s="72" t="s">
        <v>49</v>
      </c>
      <c r="C18" s="76">
        <v>300</v>
      </c>
      <c r="D18" s="85">
        <v>300</v>
      </c>
      <c r="E18" s="85">
        <f>27.27+20+45+4.8+269.4</f>
        <v>366.46999999999997</v>
      </c>
      <c r="F18" s="148">
        <v>300</v>
      </c>
      <c r="G18" s="90" t="s">
        <v>50</v>
      </c>
    </row>
    <row r="19" spans="1:7" ht="33" x14ac:dyDescent="0.25">
      <c r="A19" s="10"/>
      <c r="B19" s="89" t="s">
        <v>110</v>
      </c>
      <c r="C19" s="83">
        <v>500</v>
      </c>
      <c r="D19" s="86">
        <f>400-160-45</f>
        <v>195</v>
      </c>
      <c r="E19" s="86">
        <f>56.9+50</f>
        <v>106.9</v>
      </c>
      <c r="F19" s="149">
        <v>150</v>
      </c>
      <c r="G19" s="102" t="s">
        <v>109</v>
      </c>
    </row>
    <row r="20" spans="1:7" ht="66" x14ac:dyDescent="0.25">
      <c r="A20" s="10"/>
      <c r="B20" s="89" t="s">
        <v>136</v>
      </c>
      <c r="C20" s="83"/>
      <c r="D20" s="86">
        <f>116684*0.008+45</f>
        <v>978.47199999999998</v>
      </c>
      <c r="E20" s="86"/>
      <c r="F20" s="149">
        <f>1000+45</f>
        <v>1045</v>
      </c>
      <c r="G20" s="102" t="s">
        <v>138</v>
      </c>
    </row>
    <row r="21" spans="1:7" ht="33" x14ac:dyDescent="0.25">
      <c r="A21" s="10" t="s">
        <v>69</v>
      </c>
      <c r="B21" s="74" t="s">
        <v>58</v>
      </c>
      <c r="C21" s="77"/>
      <c r="D21" s="103">
        <v>750</v>
      </c>
      <c r="E21" s="103">
        <f>40</f>
        <v>40</v>
      </c>
      <c r="F21" s="150">
        <v>750</v>
      </c>
      <c r="G21" s="102" t="s">
        <v>139</v>
      </c>
    </row>
    <row r="22" spans="1:7" ht="16.5" x14ac:dyDescent="0.25">
      <c r="A22" s="10"/>
      <c r="B22" s="74" t="s">
        <v>59</v>
      </c>
      <c r="C22" s="77"/>
      <c r="D22" s="103">
        <v>1500</v>
      </c>
      <c r="E22" s="103"/>
      <c r="F22" s="150">
        <v>1500</v>
      </c>
      <c r="G22" s="102"/>
    </row>
    <row r="23" spans="1:7" ht="33" x14ac:dyDescent="0.25">
      <c r="A23" s="10"/>
      <c r="B23" s="74" t="s">
        <v>137</v>
      </c>
      <c r="C23" s="96"/>
      <c r="D23" s="103">
        <v>1200</v>
      </c>
      <c r="E23" s="103">
        <v>0</v>
      </c>
      <c r="F23" s="150">
        <v>479.96</v>
      </c>
      <c r="G23" s="102" t="s">
        <v>147</v>
      </c>
    </row>
    <row r="24" spans="1:7" ht="16.5" x14ac:dyDescent="0.25">
      <c r="A24" s="10"/>
      <c r="B24" s="74" t="s">
        <v>63</v>
      </c>
      <c r="C24" s="96"/>
      <c r="D24" s="103">
        <v>150</v>
      </c>
      <c r="E24" s="103">
        <v>0</v>
      </c>
      <c r="F24" s="150">
        <v>150</v>
      </c>
      <c r="G24" s="91"/>
    </row>
    <row r="25" spans="1:7" ht="33.75" thickBot="1" x14ac:dyDescent="0.3">
      <c r="A25" s="10" t="s">
        <v>47</v>
      </c>
      <c r="B25" s="73" t="s">
        <v>62</v>
      </c>
      <c r="C25" s="84">
        <v>2200</v>
      </c>
      <c r="D25" s="87">
        <v>2200</v>
      </c>
      <c r="E25" s="87">
        <f>528+780+84+46.8</f>
        <v>1438.8</v>
      </c>
      <c r="F25" s="151">
        <f>F17-(F18+F19+F20+F21+F22+F23+F24)</f>
        <v>2125.04</v>
      </c>
      <c r="G25" s="92"/>
    </row>
    <row r="26" spans="1:7" ht="17.25" thickBot="1" x14ac:dyDescent="0.3">
      <c r="A26" s="10"/>
      <c r="B26" s="104" t="s">
        <v>149</v>
      </c>
      <c r="C26" s="105"/>
      <c r="D26" s="105"/>
      <c r="E26" s="105"/>
      <c r="F26" s="105"/>
      <c r="G26" s="94"/>
    </row>
    <row r="27" spans="1:7" ht="17.25" thickBot="1" x14ac:dyDescent="0.3">
      <c r="A27" s="10"/>
      <c r="B27" s="174" t="s">
        <v>148</v>
      </c>
      <c r="C27" s="175"/>
      <c r="D27" s="176"/>
      <c r="E27" s="176"/>
      <c r="F27" s="177"/>
      <c r="G27" s="94"/>
    </row>
    <row r="28" spans="1:7" ht="15.75" thickBot="1" x14ac:dyDescent="0.3">
      <c r="A28" s="10"/>
      <c r="B28" s="104" t="s">
        <v>42</v>
      </c>
      <c r="C28" s="105">
        <v>1533.91</v>
      </c>
      <c r="D28" s="105">
        <f>D29</f>
        <v>1580.37</v>
      </c>
      <c r="E28" s="105"/>
      <c r="F28" s="105">
        <f>F29</f>
        <v>1580.43</v>
      </c>
      <c r="G28" s="95"/>
    </row>
    <row r="29" spans="1:7" ht="17.25" thickBot="1" x14ac:dyDescent="0.3">
      <c r="A29" s="10"/>
      <c r="B29" s="67" t="s">
        <v>43</v>
      </c>
      <c r="C29" s="71">
        <f>(18207.48-6000+327.76)/8</f>
        <v>1566.905</v>
      </c>
      <c r="D29" s="70">
        <v>1580.37</v>
      </c>
      <c r="E29" s="70"/>
      <c r="F29" s="152">
        <v>1580.43</v>
      </c>
      <c r="G29" s="94"/>
    </row>
    <row r="30" spans="1:7" ht="33.950000000000003" customHeight="1" thickBot="1" x14ac:dyDescent="0.3">
      <c r="A30" s="68"/>
      <c r="B30" s="68"/>
      <c r="C30" s="68"/>
      <c r="D30" s="68"/>
      <c r="E30" s="68"/>
      <c r="F30" s="147">
        <f>F28+F17+F3</f>
        <v>55819.63</v>
      </c>
      <c r="G30" s="68"/>
    </row>
    <row r="31" spans="1:7" ht="14.45" customHeight="1" x14ac:dyDescent="0.25">
      <c r="A31" s="5"/>
      <c r="B31" s="6"/>
      <c r="C31" s="7"/>
      <c r="D31" s="7"/>
      <c r="E31" s="8"/>
    </row>
    <row r="32" spans="1:7" ht="15.75" thickBot="1" x14ac:dyDescent="0.3">
      <c r="E32" s="13"/>
    </row>
    <row r="33" spans="1:6" ht="39" thickBot="1" x14ac:dyDescent="0.3">
      <c r="A33" s="106" t="s">
        <v>70</v>
      </c>
      <c r="C33" s="52" t="s">
        <v>143</v>
      </c>
      <c r="D33" s="63" t="s">
        <v>30</v>
      </c>
      <c r="E33" s="63" t="s">
        <v>114</v>
      </c>
      <c r="F33" s="146" t="s">
        <v>135</v>
      </c>
    </row>
    <row r="34" spans="1:6" ht="15.75" thickBot="1" x14ac:dyDescent="0.3">
      <c r="A34" s="107"/>
      <c r="B34" s="108" t="s">
        <v>32</v>
      </c>
      <c r="C34" s="109">
        <f>SUM(C35:C38)</f>
        <v>50286.877433333342</v>
      </c>
      <c r="D34" s="110">
        <f>SUM(D35:D39)</f>
        <v>50286.877433333349</v>
      </c>
      <c r="E34" s="110"/>
      <c r="F34" s="153">
        <f>F3</f>
        <v>47739.199999999997</v>
      </c>
    </row>
    <row r="35" spans="1:6" ht="17.25" thickBot="1" x14ac:dyDescent="0.3">
      <c r="A35" s="111"/>
      <c r="B35" s="67" t="s">
        <v>34</v>
      </c>
      <c r="C35" s="112">
        <v>26000</v>
      </c>
      <c r="D35" s="113">
        <v>26000</v>
      </c>
      <c r="E35" s="113"/>
      <c r="F35" s="154">
        <v>24000</v>
      </c>
    </row>
    <row r="36" spans="1:6" ht="17.25" thickBot="1" x14ac:dyDescent="0.3">
      <c r="A36" s="111"/>
      <c r="B36" s="67" t="s">
        <v>35</v>
      </c>
      <c r="C36" s="112">
        <v>19258.189690000007</v>
      </c>
      <c r="D36" s="113">
        <v>19258.189690000007</v>
      </c>
      <c r="E36" s="113"/>
      <c r="F36" s="154">
        <f>F34*0.9-F35</f>
        <v>18965.28</v>
      </c>
    </row>
    <row r="37" spans="1:6" ht="17.25" thickBot="1" x14ac:dyDescent="0.3">
      <c r="A37" s="111"/>
      <c r="B37" s="67" t="s">
        <v>71</v>
      </c>
      <c r="C37" s="210">
        <v>5028.6877433333357</v>
      </c>
      <c r="D37" s="113">
        <f>C37/3</f>
        <v>1676.2292477777785</v>
      </c>
      <c r="E37" s="113"/>
      <c r="F37" s="154">
        <f>F34*0.1/3</f>
        <v>1591.3066666666666</v>
      </c>
    </row>
    <row r="38" spans="1:6" ht="17.25" thickBot="1" x14ac:dyDescent="0.3">
      <c r="A38" s="111"/>
      <c r="B38" s="67" t="s">
        <v>72</v>
      </c>
      <c r="C38" s="211"/>
      <c r="D38" s="113">
        <f>C37/3</f>
        <v>1676.2292477777785</v>
      </c>
      <c r="E38" s="113"/>
      <c r="F38" s="154">
        <f>F34*0.1/3</f>
        <v>1591.3066666666666</v>
      </c>
    </row>
    <row r="39" spans="1:6" ht="17.25" thickBot="1" x14ac:dyDescent="0.3">
      <c r="A39" s="111"/>
      <c r="B39" s="67" t="s">
        <v>73</v>
      </c>
      <c r="C39" s="212"/>
      <c r="D39" s="113">
        <f>C37/3</f>
        <v>1676.2292477777785</v>
      </c>
      <c r="E39" s="113"/>
      <c r="F39" s="154">
        <f>F34*0.1/3</f>
        <v>1591.3066666666666</v>
      </c>
    </row>
    <row r="40" spans="1:6" ht="15.75" thickBot="1" x14ac:dyDescent="0.3">
      <c r="A40" s="111"/>
      <c r="B40" s="100" t="s">
        <v>68</v>
      </c>
      <c r="C40" s="114">
        <f>C41</f>
        <v>6500</v>
      </c>
      <c r="D40" s="115">
        <f>D41</f>
        <v>6500</v>
      </c>
      <c r="E40" s="115"/>
      <c r="F40" s="155">
        <f>F41</f>
        <v>6500</v>
      </c>
    </row>
    <row r="41" spans="1:6" ht="17.25" thickBot="1" x14ac:dyDescent="0.3">
      <c r="A41" s="111"/>
      <c r="B41" s="67" t="s">
        <v>34</v>
      </c>
      <c r="C41" s="112">
        <v>6500</v>
      </c>
      <c r="D41" s="113">
        <v>6500</v>
      </c>
      <c r="E41" s="113"/>
      <c r="F41" s="154">
        <v>6500</v>
      </c>
    </row>
    <row r="42" spans="1:6" ht="15.75" thickBot="1" x14ac:dyDescent="0.3">
      <c r="A42" s="111"/>
      <c r="B42" s="116" t="s">
        <v>42</v>
      </c>
      <c r="C42" s="114">
        <f>C43</f>
        <v>1697</v>
      </c>
      <c r="D42" s="115">
        <v>1580.37</v>
      </c>
      <c r="E42" s="115"/>
      <c r="F42" s="155">
        <f>F29</f>
        <v>1580.43</v>
      </c>
    </row>
    <row r="43" spans="1:6" ht="17.25" thickBot="1" x14ac:dyDescent="0.3">
      <c r="A43" s="111"/>
      <c r="B43" s="67" t="s">
        <v>71</v>
      </c>
      <c r="C43" s="210">
        <v>1697</v>
      </c>
      <c r="D43" s="117">
        <f>D42/3</f>
        <v>526.79</v>
      </c>
      <c r="E43" s="117"/>
      <c r="F43" s="154">
        <f>F42/3</f>
        <v>526.81000000000006</v>
      </c>
    </row>
    <row r="44" spans="1:6" ht="17.25" thickBot="1" x14ac:dyDescent="0.3">
      <c r="A44" s="111"/>
      <c r="B44" s="67" t="s">
        <v>72</v>
      </c>
      <c r="C44" s="211"/>
      <c r="D44" s="117">
        <f>D42/3</f>
        <v>526.79</v>
      </c>
      <c r="E44" s="117"/>
      <c r="F44" s="154">
        <f>F42/3</f>
        <v>526.81000000000006</v>
      </c>
    </row>
    <row r="45" spans="1:6" ht="17.25" thickBot="1" x14ac:dyDescent="0.3">
      <c r="A45" s="118"/>
      <c r="B45" s="67" t="s">
        <v>73</v>
      </c>
      <c r="C45" s="212"/>
      <c r="D45" s="117">
        <f>D42/3</f>
        <v>526.79</v>
      </c>
      <c r="E45" s="117"/>
      <c r="F45" s="154">
        <f>F42/3</f>
        <v>526.81000000000006</v>
      </c>
    </row>
    <row r="46" spans="1:6" ht="15.75" thickBot="1" x14ac:dyDescent="0.3"/>
    <row r="47" spans="1:6" ht="15.75" thickBot="1" x14ac:dyDescent="0.3">
      <c r="B47" s="156" t="s">
        <v>142</v>
      </c>
      <c r="C47" s="157"/>
      <c r="D47" s="158">
        <f>D43+D37</f>
        <v>2203.0192477777782</v>
      </c>
      <c r="E47" s="158"/>
      <c r="F47" s="159">
        <f>F45+F39</f>
        <v>2118.1166666666668</v>
      </c>
    </row>
  </sheetData>
  <mergeCells count="2">
    <mergeCell ref="C37:C39"/>
    <mergeCell ref="C43:C45"/>
  </mergeCells>
  <pageMargins left="0.82677165354330717" right="0.82677165354330717" top="0.55118110236220474" bottom="0.55118110236220474" header="0.31496062992125984" footer="0.31496062992125984"/>
  <pageSetup paperSize="8"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opLeftCell="B5" zoomScale="170" zoomScaleNormal="170" workbookViewId="0">
      <selection activeCell="E12" sqref="E12"/>
    </sheetView>
  </sheetViews>
  <sheetFormatPr baseColWidth="10" defaultRowHeight="15" x14ac:dyDescent="0.25"/>
  <cols>
    <col min="1" max="1" width="19.85546875" customWidth="1"/>
    <col min="2" max="2" width="38" customWidth="1"/>
    <col min="3" max="3" width="15.85546875" customWidth="1"/>
    <col min="4" max="4" width="13.7109375" customWidth="1"/>
    <col min="5" max="5" width="15.7109375" customWidth="1"/>
    <col min="6" max="6" width="54.7109375" customWidth="1"/>
    <col min="7" max="7" width="11.42578125" customWidth="1"/>
    <col min="8" max="8" width="13.140625" customWidth="1"/>
  </cols>
  <sheetData>
    <row r="1" spans="1:6" x14ac:dyDescent="0.25">
      <c r="A1" s="1" t="s">
        <v>74</v>
      </c>
      <c r="C1" s="41">
        <v>43795</v>
      </c>
      <c r="D1" s="41"/>
      <c r="E1" s="41"/>
      <c r="F1" s="41"/>
    </row>
    <row r="2" spans="1:6" ht="15.75" thickBot="1" x14ac:dyDescent="0.3"/>
    <row r="3" spans="1:6" ht="15.75" thickBot="1" x14ac:dyDescent="0.3">
      <c r="A3" s="5"/>
      <c r="B3" s="5"/>
      <c r="C3" s="63" t="s">
        <v>129</v>
      </c>
      <c r="D3" s="191"/>
      <c r="E3" s="191"/>
    </row>
    <row r="4" spans="1:6" ht="33" customHeight="1" thickBot="1" x14ac:dyDescent="0.3">
      <c r="A4" s="15"/>
      <c r="B4" s="16" t="s">
        <v>98</v>
      </c>
      <c r="C4" s="119">
        <v>2605720</v>
      </c>
      <c r="D4" s="192"/>
      <c r="E4" s="192"/>
    </row>
    <row r="6" spans="1:6" x14ac:dyDescent="0.25">
      <c r="A6" s="5"/>
      <c r="B6" s="6"/>
      <c r="C6" s="7"/>
      <c r="D6" s="7"/>
      <c r="E6" s="7"/>
      <c r="F6" s="8"/>
    </row>
    <row r="7" spans="1:6" ht="15.75" thickBot="1" x14ac:dyDescent="0.3">
      <c r="A7" s="213" t="s">
        <v>19</v>
      </c>
      <c r="B7" s="213"/>
      <c r="C7" s="7"/>
      <c r="D7" s="7"/>
      <c r="E7" s="7"/>
      <c r="F7" s="8"/>
    </row>
    <row r="8" spans="1:6" ht="15.75" thickBot="1" x14ac:dyDescent="0.3">
      <c r="A8" s="5" t="s">
        <v>5</v>
      </c>
      <c r="B8" s="9"/>
      <c r="C8" s="63" t="s">
        <v>30</v>
      </c>
      <c r="D8" s="63" t="s">
        <v>131</v>
      </c>
      <c r="E8" s="146" t="s">
        <v>135</v>
      </c>
      <c r="F8" s="52" t="s">
        <v>15</v>
      </c>
    </row>
    <row r="9" spans="1:6" ht="27" x14ac:dyDescent="0.25">
      <c r="A9" s="23" t="s">
        <v>21</v>
      </c>
      <c r="B9" s="24" t="s">
        <v>8</v>
      </c>
      <c r="C9" s="60">
        <v>150</v>
      </c>
      <c r="D9" s="179"/>
      <c r="E9" s="162">
        <v>150</v>
      </c>
      <c r="F9" s="173" t="s">
        <v>144</v>
      </c>
    </row>
    <row r="10" spans="1:6" x14ac:dyDescent="0.25">
      <c r="A10" s="10" t="s">
        <v>21</v>
      </c>
      <c r="B10" s="11" t="s">
        <v>66</v>
      </c>
      <c r="C10" s="58">
        <v>250</v>
      </c>
      <c r="D10" s="58">
        <v>0</v>
      </c>
      <c r="E10" s="163">
        <v>700</v>
      </c>
      <c r="F10" s="46" t="s">
        <v>152</v>
      </c>
    </row>
    <row r="11" spans="1:6" ht="27" x14ac:dyDescent="0.25">
      <c r="A11" s="10" t="s">
        <v>21</v>
      </c>
      <c r="B11" s="11" t="s">
        <v>75</v>
      </c>
      <c r="C11" s="58">
        <v>350</v>
      </c>
      <c r="D11" s="58">
        <v>0</v>
      </c>
      <c r="E11" s="163">
        <v>700</v>
      </c>
      <c r="F11" s="46"/>
    </row>
    <row r="12" spans="1:6" x14ac:dyDescent="0.25">
      <c r="A12" s="10" t="s">
        <v>21</v>
      </c>
      <c r="B12" s="11" t="s">
        <v>171</v>
      </c>
      <c r="C12" s="58"/>
      <c r="D12" s="58"/>
      <c r="E12" s="214" t="s">
        <v>172</v>
      </c>
      <c r="F12" s="46" t="s">
        <v>174</v>
      </c>
    </row>
    <row r="13" spans="1:6" ht="54" x14ac:dyDescent="0.25">
      <c r="A13" s="10" t="s">
        <v>21</v>
      </c>
      <c r="B13" s="11" t="s">
        <v>170</v>
      </c>
      <c r="C13" s="58">
        <f>350</f>
        <v>350</v>
      </c>
      <c r="D13" s="58">
        <v>0</v>
      </c>
      <c r="E13" s="163">
        <f>600+400</f>
        <v>1000</v>
      </c>
      <c r="F13" s="47" t="s">
        <v>151</v>
      </c>
    </row>
    <row r="14" spans="1:6" ht="27" x14ac:dyDescent="0.25">
      <c r="A14" s="12" t="s">
        <v>1</v>
      </c>
      <c r="B14" s="11" t="s">
        <v>2</v>
      </c>
      <c r="C14" s="58">
        <v>255</v>
      </c>
      <c r="D14" s="58">
        <v>1</v>
      </c>
      <c r="E14" s="163">
        <v>255</v>
      </c>
      <c r="F14" s="47" t="s">
        <v>130</v>
      </c>
    </row>
    <row r="15" spans="1:6" x14ac:dyDescent="0.25">
      <c r="A15" s="12" t="s">
        <v>3</v>
      </c>
      <c r="B15" s="11" t="s">
        <v>76</v>
      </c>
      <c r="C15" s="58">
        <v>50</v>
      </c>
      <c r="D15" s="58">
        <v>0</v>
      </c>
      <c r="E15" s="163">
        <v>50</v>
      </c>
      <c r="F15" s="46"/>
    </row>
    <row r="16" spans="1:6" ht="15.75" thickBot="1" x14ac:dyDescent="0.3">
      <c r="A16" s="25" t="s">
        <v>4</v>
      </c>
      <c r="B16" s="26" t="s">
        <v>77</v>
      </c>
      <c r="C16" s="64">
        <v>0</v>
      </c>
      <c r="D16" s="64">
        <v>0</v>
      </c>
      <c r="E16" s="164"/>
      <c r="F16" s="53"/>
    </row>
    <row r="17" spans="1:9" ht="15.75" thickBot="1" x14ac:dyDescent="0.3">
      <c r="A17" s="27"/>
      <c r="B17" s="3"/>
      <c r="C17" s="62">
        <f>SUM(C9:C16)</f>
        <v>1405</v>
      </c>
      <c r="D17" s="62"/>
      <c r="E17" s="166"/>
      <c r="F17" s="51"/>
    </row>
    <row r="18" spans="1:9" ht="15.75" thickBot="1" x14ac:dyDescent="0.3">
      <c r="A18" s="27"/>
      <c r="B18" s="3"/>
      <c r="C18" s="185"/>
      <c r="D18" s="185"/>
      <c r="E18" s="185"/>
      <c r="F18" s="141"/>
    </row>
    <row r="19" spans="1:9" ht="15.75" thickBot="1" x14ac:dyDescent="0.3">
      <c r="A19" s="186" t="s">
        <v>132</v>
      </c>
      <c r="B19" s="187" t="s">
        <v>133</v>
      </c>
      <c r="C19" s="190"/>
      <c r="D19" s="190">
        <f>10.92+48</f>
        <v>58.92</v>
      </c>
      <c r="E19" s="189">
        <v>60</v>
      </c>
      <c r="F19" s="188" t="s">
        <v>134</v>
      </c>
    </row>
    <row r="20" spans="1:9" x14ac:dyDescent="0.25">
      <c r="A20" s="5"/>
      <c r="B20" s="5"/>
      <c r="C20" s="5"/>
      <c r="D20" s="5"/>
      <c r="E20" s="5"/>
      <c r="F20" s="13"/>
    </row>
    <row r="21" spans="1:9" ht="15.75" thickBot="1" x14ac:dyDescent="0.3">
      <c r="A21" s="31" t="s">
        <v>20</v>
      </c>
      <c r="B21" s="5"/>
      <c r="C21" s="5"/>
      <c r="D21" s="5"/>
      <c r="E21" s="5"/>
      <c r="F21" s="13"/>
    </row>
    <row r="22" spans="1:9" ht="15.75" thickBot="1" x14ac:dyDescent="0.3">
      <c r="A22" t="s">
        <v>5</v>
      </c>
      <c r="C22" s="120" t="s">
        <v>28</v>
      </c>
      <c r="D22" s="120"/>
      <c r="E22" s="167">
        <v>2020</v>
      </c>
      <c r="F22" s="52" t="s">
        <v>15</v>
      </c>
    </row>
    <row r="23" spans="1:9" s="5" customFormat="1" ht="41.25" thickBot="1" x14ac:dyDescent="0.25">
      <c r="A23" s="15"/>
      <c r="B23" s="121" t="s">
        <v>146</v>
      </c>
      <c r="C23" s="122">
        <v>500</v>
      </c>
      <c r="D23" s="60"/>
      <c r="E23" s="180">
        <v>500</v>
      </c>
      <c r="F23" s="48" t="s">
        <v>145</v>
      </c>
      <c r="I23" s="17"/>
    </row>
    <row r="24" spans="1:9" ht="27.75" thickBot="1" x14ac:dyDescent="0.3">
      <c r="A24" s="15"/>
      <c r="B24" s="123" t="s">
        <v>78</v>
      </c>
      <c r="C24" s="57">
        <v>100</v>
      </c>
      <c r="D24" s="64"/>
      <c r="E24" s="164">
        <v>100</v>
      </c>
      <c r="F24" s="53" t="s">
        <v>79</v>
      </c>
    </row>
    <row r="25" spans="1:9" ht="16.5" x14ac:dyDescent="0.3">
      <c r="C25" s="20"/>
      <c r="D25" s="20"/>
      <c r="E25" s="20"/>
    </row>
    <row r="26" spans="1:9" ht="16.5" x14ac:dyDescent="0.3">
      <c r="C26" s="20"/>
      <c r="D26" s="20"/>
      <c r="E26" s="20"/>
      <c r="F26" s="13"/>
    </row>
    <row r="27" spans="1:9" ht="16.5" x14ac:dyDescent="0.3">
      <c r="C27" s="20"/>
      <c r="D27" s="20"/>
      <c r="E27" s="20"/>
      <c r="F27" s="13"/>
    </row>
    <row r="28" spans="1:9" ht="16.5" x14ac:dyDescent="0.3">
      <c r="C28" s="20"/>
      <c r="D28" s="20"/>
      <c r="E28" s="20"/>
      <c r="F28" s="13"/>
    </row>
    <row r="29" spans="1:9" ht="16.5" x14ac:dyDescent="0.3">
      <c r="C29" s="20"/>
      <c r="D29" s="20"/>
      <c r="E29" s="20"/>
      <c r="F29" s="13"/>
    </row>
    <row r="30" spans="1:9" ht="16.5" x14ac:dyDescent="0.3">
      <c r="C30" s="20"/>
      <c r="D30" s="20"/>
      <c r="E30" s="20"/>
      <c r="F30" s="13"/>
    </row>
    <row r="31" spans="1:9" ht="16.5" x14ac:dyDescent="0.3">
      <c r="C31" s="20"/>
      <c r="D31" s="20"/>
      <c r="E31" s="20"/>
      <c r="F31" s="13"/>
    </row>
    <row r="32" spans="1:9" ht="16.5" x14ac:dyDescent="0.3">
      <c r="C32" s="20"/>
      <c r="D32" s="20"/>
      <c r="E32" s="20"/>
      <c r="F32" s="13"/>
    </row>
    <row r="33" spans="3:6" ht="16.5" x14ac:dyDescent="0.3">
      <c r="C33" s="20"/>
      <c r="D33" s="20"/>
      <c r="E33" s="20"/>
      <c r="F33" s="13"/>
    </row>
    <row r="34" spans="3:6" ht="16.5" x14ac:dyDescent="0.3">
      <c r="C34" s="20"/>
      <c r="D34" s="20"/>
      <c r="E34" s="20"/>
      <c r="F34" s="13"/>
    </row>
    <row r="35" spans="3:6" ht="16.5" x14ac:dyDescent="0.3">
      <c r="C35" s="20"/>
      <c r="D35" s="20"/>
      <c r="E35" s="20"/>
      <c r="F35" s="13"/>
    </row>
    <row r="36" spans="3:6" ht="16.5" x14ac:dyDescent="0.3">
      <c r="C36" s="20"/>
      <c r="D36" s="20"/>
      <c r="E36" s="20"/>
      <c r="F36" s="13"/>
    </row>
    <row r="37" spans="3:6" ht="16.5" x14ac:dyDescent="0.3">
      <c r="C37" s="20"/>
      <c r="D37" s="20"/>
      <c r="E37" s="20"/>
      <c r="F37" s="13"/>
    </row>
    <row r="38" spans="3:6" ht="16.5" x14ac:dyDescent="0.3">
      <c r="C38" s="20"/>
      <c r="D38" s="20"/>
      <c r="E38" s="20"/>
      <c r="F38" s="13"/>
    </row>
    <row r="39" spans="3:6" x14ac:dyDescent="0.25">
      <c r="F39" s="13"/>
    </row>
    <row r="40" spans="3:6" ht="16.5" x14ac:dyDescent="0.3">
      <c r="C40" s="20"/>
      <c r="D40" s="20"/>
      <c r="E40" s="20"/>
      <c r="F40" s="13"/>
    </row>
    <row r="41" spans="3:6" ht="16.5" x14ac:dyDescent="0.3">
      <c r="C41" s="20"/>
      <c r="D41" s="20"/>
      <c r="E41" s="20"/>
      <c r="F41" s="13"/>
    </row>
    <row r="42" spans="3:6" ht="16.5" x14ac:dyDescent="0.3">
      <c r="C42" s="20"/>
      <c r="D42" s="20"/>
      <c r="E42" s="20"/>
      <c r="F42" s="13"/>
    </row>
    <row r="43" spans="3:6" ht="16.5" x14ac:dyDescent="0.3">
      <c r="C43" s="20"/>
      <c r="D43" s="20"/>
      <c r="E43" s="20"/>
      <c r="F43" s="13"/>
    </row>
    <row r="44" spans="3:6" ht="16.5" x14ac:dyDescent="0.3">
      <c r="C44" s="20"/>
      <c r="D44" s="20"/>
      <c r="E44" s="20"/>
      <c r="F44" s="13"/>
    </row>
    <row r="45" spans="3:6" ht="16.5" x14ac:dyDescent="0.3">
      <c r="C45" s="20"/>
      <c r="D45" s="20"/>
      <c r="E45" s="20"/>
      <c r="F45" s="14"/>
    </row>
    <row r="46" spans="3:6" ht="16.5" x14ac:dyDescent="0.3">
      <c r="C46" s="20"/>
      <c r="D46" s="20"/>
      <c r="E46" s="20"/>
      <c r="F46" s="13"/>
    </row>
    <row r="47" spans="3:6" ht="16.5" x14ac:dyDescent="0.3">
      <c r="C47" s="20"/>
      <c r="D47" s="20"/>
      <c r="E47" s="20"/>
      <c r="F47" s="13"/>
    </row>
  </sheetData>
  <mergeCells count="1">
    <mergeCell ref="A7:B7"/>
  </mergeCells>
  <pageMargins left="0.82677165354330717" right="0.82677165354330717" top="0.55118110236220474" bottom="0.55118110236220474"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Dép GEMAPI &amp; assimilés </vt:lpstr>
      <vt:lpstr>Dépenses PCAET</vt:lpstr>
      <vt:lpstr>Dépenses EIE</vt:lpstr>
      <vt:lpstr>Dépenses Autres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PHILIPPOT</dc:creator>
  <cp:lastModifiedBy>utilisateur</cp:lastModifiedBy>
  <cp:lastPrinted>2019-11-26T16:39:16Z</cp:lastPrinted>
  <dcterms:created xsi:type="dcterms:W3CDTF">2017-11-14T10:51:15Z</dcterms:created>
  <dcterms:modified xsi:type="dcterms:W3CDTF">2019-11-26T19:45:35Z</dcterms:modified>
</cp:coreProperties>
</file>